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30" windowHeight="11580"/>
  </bookViews>
  <sheets>
    <sheet name="Budget-info" sheetId="2" r:id="rId1"/>
    <sheet name="Konsekvensberegninge (10)" sheetId="1" r:id="rId2"/>
    <sheet name="Beregninger høring AD 2" sheetId="5" r:id="rId3"/>
    <sheet name="Beregninger høring AD 9" sheetId="4" r:id="rId4"/>
    <sheet name="Beregninger høring AD 3" sheetId="6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R66" i="6"/>
  <c r="R65"/>
  <c r="R23"/>
  <c r="R14"/>
  <c r="R64"/>
  <c r="R63"/>
  <c r="R62"/>
  <c r="R61"/>
  <c r="R59"/>
  <c r="R57"/>
  <c r="R56"/>
  <c r="R55"/>
  <c r="R54"/>
  <c r="R52"/>
  <c r="R51"/>
  <c r="R50"/>
  <c r="R49"/>
  <c r="R48"/>
  <c r="R47"/>
  <c r="R45"/>
  <c r="R44"/>
  <c r="R43"/>
  <c r="R42"/>
  <c r="R39"/>
  <c r="R38"/>
  <c r="R37"/>
  <c r="R35"/>
  <c r="R33"/>
  <c r="R32"/>
  <c r="R30"/>
  <c r="R29"/>
  <c r="R28"/>
  <c r="R26"/>
  <c r="R25"/>
  <c r="R24"/>
  <c r="R22"/>
  <c r="R21"/>
  <c r="R20"/>
  <c r="R19"/>
  <c r="R18"/>
  <c r="R17"/>
  <c r="R16"/>
  <c r="R15"/>
  <c r="R13"/>
  <c r="R12"/>
  <c r="R96"/>
  <c r="R97"/>
  <c r="R95"/>
  <c r="R93"/>
  <c r="R92"/>
  <c r="R91"/>
  <c r="R90"/>
  <c r="R89"/>
  <c r="R88"/>
  <c r="R87"/>
  <c r="R86"/>
  <c r="R84"/>
  <c r="R80"/>
  <c r="R79"/>
  <c r="R78"/>
  <c r="R77"/>
  <c r="R71"/>
  <c r="R72"/>
  <c r="R74"/>
  <c r="R75"/>
  <c r="R76"/>
  <c r="R73"/>
  <c r="B114" l="1"/>
  <c r="D108"/>
  <c r="D106"/>
  <c r="P98"/>
  <c r="O98"/>
  <c r="I98"/>
  <c r="F98"/>
  <c r="S97"/>
  <c r="Q97"/>
  <c r="J97"/>
  <c r="AD97" s="1"/>
  <c r="H97"/>
  <c r="Q96"/>
  <c r="J96"/>
  <c r="H96"/>
  <c r="S95"/>
  <c r="Q95"/>
  <c r="J95"/>
  <c r="H95"/>
  <c r="Q94"/>
  <c r="J94"/>
  <c r="H94"/>
  <c r="S93"/>
  <c r="Q93"/>
  <c r="H93"/>
  <c r="J93" s="1"/>
  <c r="S92"/>
  <c r="Q92"/>
  <c r="H92"/>
  <c r="J92" s="1"/>
  <c r="Q91"/>
  <c r="J91"/>
  <c r="H91"/>
  <c r="D91"/>
  <c r="S90"/>
  <c r="Q90"/>
  <c r="H90"/>
  <c r="J90" s="1"/>
  <c r="Q89"/>
  <c r="H89"/>
  <c r="J89" s="1"/>
  <c r="S88"/>
  <c r="Q88"/>
  <c r="H88"/>
  <c r="J88" s="1"/>
  <c r="Q87"/>
  <c r="H87"/>
  <c r="J87" s="1"/>
  <c r="S86"/>
  <c r="Q86"/>
  <c r="H86"/>
  <c r="J86" s="1"/>
  <c r="Q85"/>
  <c r="H85"/>
  <c r="J85" s="1"/>
  <c r="S84"/>
  <c r="Q84"/>
  <c r="H84"/>
  <c r="AO82"/>
  <c r="P81"/>
  <c r="O81"/>
  <c r="I81"/>
  <c r="F81"/>
  <c r="D81"/>
  <c r="S80"/>
  <c r="Q80"/>
  <c r="J80"/>
  <c r="H80"/>
  <c r="C80"/>
  <c r="B80"/>
  <c r="S79"/>
  <c r="Q79"/>
  <c r="H79"/>
  <c r="J79" s="1"/>
  <c r="C79"/>
  <c r="B79"/>
  <c r="Q78"/>
  <c r="J78"/>
  <c r="H78"/>
  <c r="C78"/>
  <c r="B78"/>
  <c r="Q77"/>
  <c r="H77"/>
  <c r="J77" s="1"/>
  <c r="C77"/>
  <c r="B77"/>
  <c r="S76"/>
  <c r="Q76"/>
  <c r="H76"/>
  <c r="J76" s="1"/>
  <c r="C76"/>
  <c r="B76"/>
  <c r="S75"/>
  <c r="Q75"/>
  <c r="H75"/>
  <c r="J75" s="1"/>
  <c r="C75"/>
  <c r="B75"/>
  <c r="S74"/>
  <c r="Q74"/>
  <c r="H74"/>
  <c r="J74" s="1"/>
  <c r="C74"/>
  <c r="B74"/>
  <c r="Q73"/>
  <c r="S73" s="1"/>
  <c r="J73"/>
  <c r="H73"/>
  <c r="C73"/>
  <c r="B73"/>
  <c r="S72"/>
  <c r="Q72"/>
  <c r="H72"/>
  <c r="J72" s="1"/>
  <c r="C72"/>
  <c r="B72"/>
  <c r="S71"/>
  <c r="Q71"/>
  <c r="H71"/>
  <c r="C71"/>
  <c r="B71"/>
  <c r="J68"/>
  <c r="AA67"/>
  <c r="V67"/>
  <c r="P67"/>
  <c r="G67"/>
  <c r="AO66"/>
  <c r="AK66"/>
  <c r="AI66"/>
  <c r="AH66"/>
  <c r="AE66"/>
  <c r="AC66"/>
  <c r="AB66"/>
  <c r="X66"/>
  <c r="W66"/>
  <c r="Y66" s="1"/>
  <c r="S66"/>
  <c r="Q66"/>
  <c r="I66"/>
  <c r="J66" s="1"/>
  <c r="H66"/>
  <c r="AM65"/>
  <c r="AM67" s="1"/>
  <c r="AH65"/>
  <c r="AI65" s="1"/>
  <c r="AK65" s="1"/>
  <c r="AE65"/>
  <c r="AB65"/>
  <c r="AC65" s="1"/>
  <c r="X65"/>
  <c r="AF65" s="1"/>
  <c r="W65"/>
  <c r="Y65" s="1"/>
  <c r="Q65"/>
  <c r="I65"/>
  <c r="J65" s="1"/>
  <c r="H65"/>
  <c r="AO64"/>
  <c r="AI64"/>
  <c r="AK64" s="1"/>
  <c r="AH64"/>
  <c r="AB64"/>
  <c r="AC64" s="1"/>
  <c r="Y64"/>
  <c r="W64"/>
  <c r="S64"/>
  <c r="Q64"/>
  <c r="H64"/>
  <c r="J64" s="1"/>
  <c r="AO63"/>
  <c r="AH63"/>
  <c r="AI63" s="1"/>
  <c r="AK63" s="1"/>
  <c r="Z63"/>
  <c r="AB63" s="1"/>
  <c r="AC63" s="1"/>
  <c r="Y63"/>
  <c r="W63"/>
  <c r="Q63"/>
  <c r="J63"/>
  <c r="H63"/>
  <c r="AO62"/>
  <c r="AK62"/>
  <c r="AI62"/>
  <c r="AH62"/>
  <c r="AB62"/>
  <c r="AC62" s="1"/>
  <c r="W62"/>
  <c r="Y62" s="1"/>
  <c r="S62"/>
  <c r="Q62"/>
  <c r="J62"/>
  <c r="H62"/>
  <c r="AO61"/>
  <c r="AI61"/>
  <c r="AK61" s="1"/>
  <c r="AH61"/>
  <c r="AB61"/>
  <c r="AC61" s="1"/>
  <c r="W61"/>
  <c r="Y61" s="1"/>
  <c r="S61"/>
  <c r="Q61"/>
  <c r="H61"/>
  <c r="J61" s="1"/>
  <c r="AO60"/>
  <c r="AH60"/>
  <c r="AI60" s="1"/>
  <c r="AK60" s="1"/>
  <c r="AC60"/>
  <c r="AB60"/>
  <c r="W60"/>
  <c r="Y60" s="1"/>
  <c r="S60"/>
  <c r="R60"/>
  <c r="Q60"/>
  <c r="H60"/>
  <c r="J60" s="1"/>
  <c r="AD60" s="1"/>
  <c r="AO59"/>
  <c r="AH59"/>
  <c r="AI59" s="1"/>
  <c r="AK59" s="1"/>
  <c r="AB59"/>
  <c r="AC59" s="1"/>
  <c r="Y59"/>
  <c r="W59"/>
  <c r="Q59"/>
  <c r="J59"/>
  <c r="H59"/>
  <c r="AO58"/>
  <c r="AK58"/>
  <c r="AI58"/>
  <c r="AH58"/>
  <c r="AB58"/>
  <c r="AC58" s="1"/>
  <c r="W58"/>
  <c r="Y58" s="1"/>
  <c r="R58"/>
  <c r="S58" s="1"/>
  <c r="Q58"/>
  <c r="J58"/>
  <c r="H58"/>
  <c r="AO57"/>
  <c r="AI57"/>
  <c r="AK57" s="1"/>
  <c r="AH57"/>
  <c r="AE57"/>
  <c r="AB57"/>
  <c r="AC57" s="1"/>
  <c r="Y57"/>
  <c r="W57"/>
  <c r="S57"/>
  <c r="Q57"/>
  <c r="H57"/>
  <c r="J57" s="1"/>
  <c r="AO56"/>
  <c r="AH56"/>
  <c r="AI56" s="1"/>
  <c r="AK56" s="1"/>
  <c r="AC56"/>
  <c r="AB56"/>
  <c r="W56"/>
  <c r="Y56" s="1"/>
  <c r="Q56"/>
  <c r="H56"/>
  <c r="J56" s="1"/>
  <c r="AO55"/>
  <c r="AH55"/>
  <c r="AI55" s="1"/>
  <c r="AK55" s="1"/>
  <c r="AC55"/>
  <c r="AB55"/>
  <c r="W55"/>
  <c r="Y55" s="1"/>
  <c r="S55"/>
  <c r="Q55"/>
  <c r="H55"/>
  <c r="J55" s="1"/>
  <c r="AO54"/>
  <c r="AH54"/>
  <c r="AI54" s="1"/>
  <c r="AK54" s="1"/>
  <c r="AE54"/>
  <c r="AB54"/>
  <c r="AC54" s="1"/>
  <c r="Y54"/>
  <c r="W54"/>
  <c r="Q54"/>
  <c r="J54"/>
  <c r="H54"/>
  <c r="AO53"/>
  <c r="AK53"/>
  <c r="AI53"/>
  <c r="AH53"/>
  <c r="AB53"/>
  <c r="AC53" s="1"/>
  <c r="W53"/>
  <c r="Y53" s="1"/>
  <c r="R53"/>
  <c r="S53" s="1"/>
  <c r="Q53"/>
  <c r="J53"/>
  <c r="H53"/>
  <c r="AO52"/>
  <c r="AI52"/>
  <c r="AK52" s="1"/>
  <c r="AH52"/>
  <c r="AB52"/>
  <c r="AC52" s="1"/>
  <c r="W52"/>
  <c r="Y52" s="1"/>
  <c r="S52"/>
  <c r="Q52"/>
  <c r="H52"/>
  <c r="J52" s="1"/>
  <c r="AO51"/>
  <c r="AH51"/>
  <c r="AI51" s="1"/>
  <c r="AK51" s="1"/>
  <c r="AE51"/>
  <c r="AB51"/>
  <c r="AC51" s="1"/>
  <c r="W51"/>
  <c r="Y51" s="1"/>
  <c r="S51"/>
  <c r="Q51"/>
  <c r="J51"/>
  <c r="H51"/>
  <c r="AO50"/>
  <c r="AH50"/>
  <c r="AI50" s="1"/>
  <c r="AK50" s="1"/>
  <c r="Z50"/>
  <c r="AB50" s="1"/>
  <c r="AC50" s="1"/>
  <c r="W50"/>
  <c r="Y50" s="1"/>
  <c r="S50"/>
  <c r="Q50"/>
  <c r="H50"/>
  <c r="J50" s="1"/>
  <c r="AO49"/>
  <c r="AH49"/>
  <c r="AI49" s="1"/>
  <c r="AK49" s="1"/>
  <c r="AE49"/>
  <c r="AB49"/>
  <c r="AC49" s="1"/>
  <c r="Y49"/>
  <c r="W49"/>
  <c r="Q49"/>
  <c r="J49"/>
  <c r="H49"/>
  <c r="AO48"/>
  <c r="AI48"/>
  <c r="AK48" s="1"/>
  <c r="AH48"/>
  <c r="AB48"/>
  <c r="AC48" s="1"/>
  <c r="W48"/>
  <c r="Y48" s="1"/>
  <c r="S48"/>
  <c r="Q48"/>
  <c r="J48"/>
  <c r="H48"/>
  <c r="AO47"/>
  <c r="AH47"/>
  <c r="AI47" s="1"/>
  <c r="AK47" s="1"/>
  <c r="AB47"/>
  <c r="AC47" s="1"/>
  <c r="W47"/>
  <c r="Y47" s="1"/>
  <c r="S47"/>
  <c r="Q47"/>
  <c r="H47"/>
  <c r="J47" s="1"/>
  <c r="AO46"/>
  <c r="AH46"/>
  <c r="AI46" s="1"/>
  <c r="AK46" s="1"/>
  <c r="AE46"/>
  <c r="AC46"/>
  <c r="AB46"/>
  <c r="W46"/>
  <c r="Y46" s="1"/>
  <c r="R46"/>
  <c r="Q46"/>
  <c r="H46"/>
  <c r="J46" s="1"/>
  <c r="AO45"/>
  <c r="AH45"/>
  <c r="AI45" s="1"/>
  <c r="AK45" s="1"/>
  <c r="AE45"/>
  <c r="AB45"/>
  <c r="AC45" s="1"/>
  <c r="W45"/>
  <c r="Y45" s="1"/>
  <c r="S45"/>
  <c r="Q45"/>
  <c r="J45"/>
  <c r="H45"/>
  <c r="AO44"/>
  <c r="AH44"/>
  <c r="AI44" s="1"/>
  <c r="AK44" s="1"/>
  <c r="AB44"/>
  <c r="AC44" s="1"/>
  <c r="W44"/>
  <c r="Y44" s="1"/>
  <c r="S44"/>
  <c r="Q44"/>
  <c r="H44"/>
  <c r="J44" s="1"/>
  <c r="AO43"/>
  <c r="AH43"/>
  <c r="AI43" s="1"/>
  <c r="AK43" s="1"/>
  <c r="AC43"/>
  <c r="AB43"/>
  <c r="W43"/>
  <c r="Y43" s="1"/>
  <c r="S43"/>
  <c r="Q43"/>
  <c r="H43"/>
  <c r="J43" s="1"/>
  <c r="AO42"/>
  <c r="AI42"/>
  <c r="AK42" s="1"/>
  <c r="AH42"/>
  <c r="AE42"/>
  <c r="Z42"/>
  <c r="AB42" s="1"/>
  <c r="AC42" s="1"/>
  <c r="W42"/>
  <c r="Y42" s="1"/>
  <c r="S42"/>
  <c r="Q42"/>
  <c r="J42"/>
  <c r="H42"/>
  <c r="AO41"/>
  <c r="AI41"/>
  <c r="AK41" s="1"/>
  <c r="AC41"/>
  <c r="AB41"/>
  <c r="W41"/>
  <c r="Y41" s="1"/>
  <c r="R41"/>
  <c r="Q41"/>
  <c r="H41"/>
  <c r="J41" s="1"/>
  <c r="AO40"/>
  <c r="AH40"/>
  <c r="AI40" s="1"/>
  <c r="AK40" s="1"/>
  <c r="AC40"/>
  <c r="AB40"/>
  <c r="W40"/>
  <c r="Y40" s="1"/>
  <c r="S40"/>
  <c r="R40"/>
  <c r="Q40"/>
  <c r="H40"/>
  <c r="J40" s="1"/>
  <c r="AO39"/>
  <c r="AH39"/>
  <c r="AI39" s="1"/>
  <c r="AK39" s="1"/>
  <c r="AB39"/>
  <c r="AC39" s="1"/>
  <c r="Y39"/>
  <c r="W39"/>
  <c r="Q39"/>
  <c r="S39" s="1"/>
  <c r="J39"/>
  <c r="H39"/>
  <c r="AO38"/>
  <c r="AK38"/>
  <c r="AI38"/>
  <c r="AH38"/>
  <c r="AE38"/>
  <c r="Z38"/>
  <c r="AB38" s="1"/>
  <c r="AC38" s="1"/>
  <c r="Y38"/>
  <c r="W38"/>
  <c r="Q38"/>
  <c r="S38" s="1"/>
  <c r="J38"/>
  <c r="H38"/>
  <c r="AO37"/>
  <c r="AK37"/>
  <c r="AI37"/>
  <c r="AH37"/>
  <c r="AE37"/>
  <c r="AB37"/>
  <c r="AC37" s="1"/>
  <c r="W37"/>
  <c r="X37" s="1"/>
  <c r="AF37" s="1"/>
  <c r="S37"/>
  <c r="Q37"/>
  <c r="H37"/>
  <c r="J37" s="1"/>
  <c r="AO36"/>
  <c r="AH36"/>
  <c r="AI36" s="1"/>
  <c r="AK36" s="1"/>
  <c r="AE36"/>
  <c r="AF36" s="1"/>
  <c r="AC36"/>
  <c r="AB36"/>
  <c r="W36"/>
  <c r="Y36" s="1"/>
  <c r="S36"/>
  <c r="R36"/>
  <c r="Q36"/>
  <c r="H36"/>
  <c r="AO35"/>
  <c r="AH35"/>
  <c r="AI35" s="1"/>
  <c r="AK35" s="1"/>
  <c r="AE35"/>
  <c r="AB35"/>
  <c r="AC35" s="1"/>
  <c r="W35"/>
  <c r="Y35" s="1"/>
  <c r="S35"/>
  <c r="Q35"/>
  <c r="J35"/>
  <c r="H35"/>
  <c r="AO34"/>
  <c r="AH34"/>
  <c r="AI34" s="1"/>
  <c r="AK34" s="1"/>
  <c r="AB34"/>
  <c r="AC34" s="1"/>
  <c r="W34"/>
  <c r="Y34" s="1"/>
  <c r="R34"/>
  <c r="S34" s="1"/>
  <c r="Q34"/>
  <c r="H34"/>
  <c r="J34" s="1"/>
  <c r="AO33"/>
  <c r="AH33"/>
  <c r="AI33" s="1"/>
  <c r="AK33" s="1"/>
  <c r="AC33"/>
  <c r="AB33"/>
  <c r="W33"/>
  <c r="Y33" s="1"/>
  <c r="S33"/>
  <c r="Q33"/>
  <c r="H33"/>
  <c r="J33" s="1"/>
  <c r="E33"/>
  <c r="AO32"/>
  <c r="AH32"/>
  <c r="AI32" s="1"/>
  <c r="AK32" s="1"/>
  <c r="AE32"/>
  <c r="AB32"/>
  <c r="AC32" s="1"/>
  <c r="W32"/>
  <c r="Y32" s="1"/>
  <c r="S32"/>
  <c r="Q32"/>
  <c r="J32"/>
  <c r="H32"/>
  <c r="AO31"/>
  <c r="AH31"/>
  <c r="AI31" s="1"/>
  <c r="AK31" s="1"/>
  <c r="AB31"/>
  <c r="AC31" s="1"/>
  <c r="W31"/>
  <c r="Y31" s="1"/>
  <c r="Q31"/>
  <c r="S31" s="1"/>
  <c r="J31"/>
  <c r="H31"/>
  <c r="AH30"/>
  <c r="AI30" s="1"/>
  <c r="AK30" s="1"/>
  <c r="AB30"/>
  <c r="AC30" s="1"/>
  <c r="W30"/>
  <c r="Y30" s="1"/>
  <c r="S30"/>
  <c r="Q30"/>
  <c r="H30"/>
  <c r="J30" s="1"/>
  <c r="AO29"/>
  <c r="AH29"/>
  <c r="AI29" s="1"/>
  <c r="AK29" s="1"/>
  <c r="AC29"/>
  <c r="AB29"/>
  <c r="W29"/>
  <c r="Y29" s="1"/>
  <c r="S29"/>
  <c r="Q29"/>
  <c r="H29"/>
  <c r="J29" s="1"/>
  <c r="AO28"/>
  <c r="AI28"/>
  <c r="AK28" s="1"/>
  <c r="AH28"/>
  <c r="AE28"/>
  <c r="AC28"/>
  <c r="AB28"/>
  <c r="W28"/>
  <c r="X28" s="1"/>
  <c r="AF28" s="1"/>
  <c r="S28"/>
  <c r="Q28"/>
  <c r="H28"/>
  <c r="J28" s="1"/>
  <c r="AO27"/>
  <c r="AH27"/>
  <c r="AI27" s="1"/>
  <c r="AK27" s="1"/>
  <c r="AE27"/>
  <c r="AB27"/>
  <c r="AC27" s="1"/>
  <c r="Y27"/>
  <c r="W27"/>
  <c r="R27"/>
  <c r="Q27"/>
  <c r="S27" s="1"/>
  <c r="H27"/>
  <c r="AO26"/>
  <c r="AI26"/>
  <c r="AK26" s="1"/>
  <c r="AE26"/>
  <c r="AC26"/>
  <c r="AB26"/>
  <c r="W26"/>
  <c r="Y26" s="1"/>
  <c r="Q26"/>
  <c r="H26"/>
  <c r="J26" s="1"/>
  <c r="AO25"/>
  <c r="AH25"/>
  <c r="AI25" s="1"/>
  <c r="AK25" s="1"/>
  <c r="AE25"/>
  <c r="AB25"/>
  <c r="AC25" s="1"/>
  <c r="X25"/>
  <c r="AF25" s="1"/>
  <c r="W25"/>
  <c r="Y25" s="1"/>
  <c r="S25"/>
  <c r="Q25"/>
  <c r="H25"/>
  <c r="J25" s="1"/>
  <c r="AN24"/>
  <c r="AN67" s="1"/>
  <c r="AI24"/>
  <c r="AK24" s="1"/>
  <c r="AH24"/>
  <c r="AE24"/>
  <c r="AB24"/>
  <c r="AC24" s="1"/>
  <c r="Y24"/>
  <c r="W24"/>
  <c r="X24" s="1"/>
  <c r="AF24" s="1"/>
  <c r="S24"/>
  <c r="Q24"/>
  <c r="H24"/>
  <c r="J24" s="1"/>
  <c r="AO23"/>
  <c r="AH23"/>
  <c r="AI23" s="1"/>
  <c r="AK23" s="1"/>
  <c r="AE23"/>
  <c r="Z23"/>
  <c r="AB23" s="1"/>
  <c r="AC23" s="1"/>
  <c r="X23"/>
  <c r="W23"/>
  <c r="Y23" s="1"/>
  <c r="Q23"/>
  <c r="I23"/>
  <c r="J23" s="1"/>
  <c r="H23"/>
  <c r="AO22"/>
  <c r="AH22"/>
  <c r="AI22" s="1"/>
  <c r="AK22" s="1"/>
  <c r="AC22"/>
  <c r="AB22"/>
  <c r="W22"/>
  <c r="Y22" s="1"/>
  <c r="S22"/>
  <c r="Q22"/>
  <c r="H22"/>
  <c r="J22" s="1"/>
  <c r="AD22" s="1"/>
  <c r="AO21"/>
  <c r="AH21"/>
  <c r="AI21" s="1"/>
  <c r="AK21" s="1"/>
  <c r="AE21"/>
  <c r="AC21"/>
  <c r="AB21"/>
  <c r="X21"/>
  <c r="AF21" s="1"/>
  <c r="W21"/>
  <c r="Y21" s="1"/>
  <c r="Q21"/>
  <c r="J21"/>
  <c r="H21"/>
  <c r="AO20"/>
  <c r="AI20"/>
  <c r="AK20" s="1"/>
  <c r="AH20"/>
  <c r="AB20"/>
  <c r="AC20" s="1"/>
  <c r="W20"/>
  <c r="Y20" s="1"/>
  <c r="S20"/>
  <c r="Q20"/>
  <c r="J20"/>
  <c r="H20"/>
  <c r="AO19"/>
  <c r="AH19"/>
  <c r="AI19" s="1"/>
  <c r="AK19" s="1"/>
  <c r="Z19"/>
  <c r="AB19" s="1"/>
  <c r="AC19" s="1"/>
  <c r="W19"/>
  <c r="Y19" s="1"/>
  <c r="S19"/>
  <c r="Q19"/>
  <c r="H19"/>
  <c r="J19" s="1"/>
  <c r="AO18"/>
  <c r="AH18"/>
  <c r="AI18" s="1"/>
  <c r="AK18" s="1"/>
  <c r="Z18"/>
  <c r="AB18" s="1"/>
  <c r="AC18" s="1"/>
  <c r="W18"/>
  <c r="Y18" s="1"/>
  <c r="S18"/>
  <c r="Q18"/>
  <c r="H18"/>
  <c r="J18" s="1"/>
  <c r="AO17"/>
  <c r="AH17"/>
  <c r="AI17" s="1"/>
  <c r="AK17" s="1"/>
  <c r="Z17"/>
  <c r="AB17" s="1"/>
  <c r="AC17" s="1"/>
  <c r="W17"/>
  <c r="Y17" s="1"/>
  <c r="Q17"/>
  <c r="H17"/>
  <c r="J17" s="1"/>
  <c r="AO16"/>
  <c r="AH16"/>
  <c r="AI16" s="1"/>
  <c r="AK16" s="1"/>
  <c r="AC16"/>
  <c r="AB16"/>
  <c r="W16"/>
  <c r="Y16" s="1"/>
  <c r="S16"/>
  <c r="Q16"/>
  <c r="H16"/>
  <c r="J16" s="1"/>
  <c r="AO15"/>
  <c r="AH15"/>
  <c r="AI15" s="1"/>
  <c r="AK15" s="1"/>
  <c r="AB15"/>
  <c r="AC15" s="1"/>
  <c r="Y15"/>
  <c r="W15"/>
  <c r="Q15"/>
  <c r="S15" s="1"/>
  <c r="J15"/>
  <c r="H15"/>
  <c r="AO14"/>
  <c r="AI14"/>
  <c r="AK14" s="1"/>
  <c r="AH14"/>
  <c r="AE14"/>
  <c r="AB14"/>
  <c r="AC14" s="1"/>
  <c r="Y14"/>
  <c r="X14"/>
  <c r="AF14" s="1"/>
  <c r="W14"/>
  <c r="Q14"/>
  <c r="I14"/>
  <c r="H14"/>
  <c r="AO13"/>
  <c r="AB13"/>
  <c r="AC13" s="1"/>
  <c r="U13"/>
  <c r="U67" s="1"/>
  <c r="T13"/>
  <c r="O13"/>
  <c r="O67" s="1"/>
  <c r="N13"/>
  <c r="M13"/>
  <c r="L13"/>
  <c r="K13"/>
  <c r="F13"/>
  <c r="F67" s="1"/>
  <c r="D13"/>
  <c r="D67" s="1"/>
  <c r="B13"/>
  <c r="A13"/>
  <c r="AO12"/>
  <c r="AK12"/>
  <c r="AI12"/>
  <c r="AE12"/>
  <c r="AB12"/>
  <c r="W12"/>
  <c r="X12" s="1"/>
  <c r="AF12" s="1"/>
  <c r="S12"/>
  <c r="Q12"/>
  <c r="H12"/>
  <c r="AD43" l="1"/>
  <c r="AD93"/>
  <c r="AD76"/>
  <c r="AE76" s="1"/>
  <c r="AD72"/>
  <c r="AE72" s="1"/>
  <c r="AD79"/>
  <c r="AE79" s="1"/>
  <c r="AD85"/>
  <c r="AD29"/>
  <c r="AD33"/>
  <c r="AD20"/>
  <c r="AD32"/>
  <c r="AD48"/>
  <c r="S17"/>
  <c r="S26"/>
  <c r="AD36"/>
  <c r="AD53"/>
  <c r="AD58"/>
  <c r="AD62"/>
  <c r="AD64"/>
  <c r="AO67"/>
  <c r="AD75"/>
  <c r="AE75" s="1"/>
  <c r="AD80"/>
  <c r="AE80" s="1"/>
  <c r="S85"/>
  <c r="S87"/>
  <c r="AD87" s="1"/>
  <c r="S89"/>
  <c r="AD89" s="1"/>
  <c r="AD95"/>
  <c r="Y12"/>
  <c r="S21"/>
  <c r="AF23"/>
  <c r="AO24"/>
  <c r="X26"/>
  <c r="AF26" s="1"/>
  <c r="Y28"/>
  <c r="Y37"/>
  <c r="S41"/>
  <c r="S46"/>
  <c r="S49"/>
  <c r="AD49" s="1"/>
  <c r="S56"/>
  <c r="AD56" s="1"/>
  <c r="AD57"/>
  <c r="S65"/>
  <c r="AF66"/>
  <c r="H81"/>
  <c r="S77"/>
  <c r="AD77" s="1"/>
  <c r="AE77" s="1"/>
  <c r="S96"/>
  <c r="AD96" s="1"/>
  <c r="AD40"/>
  <c r="AD45"/>
  <c r="AD55"/>
  <c r="S14"/>
  <c r="AD16"/>
  <c r="AD27"/>
  <c r="S54"/>
  <c r="AD54" s="1"/>
  <c r="S59"/>
  <c r="AD59" s="1"/>
  <c r="S63"/>
  <c r="S78"/>
  <c r="AD78" s="1"/>
  <c r="H98"/>
  <c r="AD86"/>
  <c r="AD88"/>
  <c r="AD90"/>
  <c r="S91"/>
  <c r="AD91" s="1"/>
  <c r="S94"/>
  <c r="H13"/>
  <c r="J13" s="1"/>
  <c r="E13"/>
  <c r="W13"/>
  <c r="Y13" s="1"/>
  <c r="AD18"/>
  <c r="I67"/>
  <c r="I100" s="1"/>
  <c r="F106" s="1"/>
  <c r="AD38"/>
  <c r="S23"/>
  <c r="AD42"/>
  <c r="AB67"/>
  <c r="AD17"/>
  <c r="Z67"/>
  <c r="AD19"/>
  <c r="AD63"/>
  <c r="AD31"/>
  <c r="AD30"/>
  <c r="AD34"/>
  <c r="AD39"/>
  <c r="AD46"/>
  <c r="AD50"/>
  <c r="AD74"/>
  <c r="AD92"/>
  <c r="AD15"/>
  <c r="AD41"/>
  <c r="AD73"/>
  <c r="AD44"/>
  <c r="AD47"/>
  <c r="AD52"/>
  <c r="AD61"/>
  <c r="R98"/>
  <c r="AD94"/>
  <c r="R81"/>
  <c r="AH13"/>
  <c r="R67"/>
  <c r="J12"/>
  <c r="AC12"/>
  <c r="AC67" s="1"/>
  <c r="Q13"/>
  <c r="Q67" s="1"/>
  <c r="J14"/>
  <c r="X35"/>
  <c r="AF35" s="1"/>
  <c r="X51"/>
  <c r="AF51" s="1"/>
  <c r="AO65"/>
  <c r="J71"/>
  <c r="J84"/>
  <c r="D98"/>
  <c r="D100" s="1"/>
  <c r="Q98"/>
  <c r="Q81"/>
  <c r="F107" i="4"/>
  <c r="B107" i="5"/>
  <c r="D101"/>
  <c r="D99"/>
  <c r="P91"/>
  <c r="O91"/>
  <c r="I91"/>
  <c r="F91"/>
  <c r="R90"/>
  <c r="Q90"/>
  <c r="H90"/>
  <c r="J90" s="1"/>
  <c r="S89"/>
  <c r="R89"/>
  <c r="Q89"/>
  <c r="H89"/>
  <c r="J89" s="1"/>
  <c r="R88"/>
  <c r="Q88"/>
  <c r="H88"/>
  <c r="J88" s="1"/>
  <c r="S87"/>
  <c r="R87"/>
  <c r="Q87"/>
  <c r="H87"/>
  <c r="J87" s="1"/>
  <c r="R86"/>
  <c r="Q86"/>
  <c r="H86"/>
  <c r="J86" s="1"/>
  <c r="S85"/>
  <c r="R85"/>
  <c r="Q85"/>
  <c r="H85"/>
  <c r="J85" s="1"/>
  <c r="Q84"/>
  <c r="H84"/>
  <c r="J84" s="1"/>
  <c r="D84"/>
  <c r="R84" s="1"/>
  <c r="S83"/>
  <c r="R83"/>
  <c r="Q83"/>
  <c r="H83"/>
  <c r="J83" s="1"/>
  <c r="AD83" s="1"/>
  <c r="R82"/>
  <c r="S82" s="1"/>
  <c r="Q82"/>
  <c r="H82"/>
  <c r="J82" s="1"/>
  <c r="S81"/>
  <c r="R81"/>
  <c r="Q81"/>
  <c r="H81"/>
  <c r="J81" s="1"/>
  <c r="AD81" s="1"/>
  <c r="R80"/>
  <c r="S80" s="1"/>
  <c r="Q80"/>
  <c r="H80"/>
  <c r="J80" s="1"/>
  <c r="AD80" s="1"/>
  <c r="R79"/>
  <c r="Q79"/>
  <c r="H79"/>
  <c r="J79" s="1"/>
  <c r="R78"/>
  <c r="Q78"/>
  <c r="H78"/>
  <c r="J78" s="1"/>
  <c r="R77"/>
  <c r="S77" s="1"/>
  <c r="Q77"/>
  <c r="H77"/>
  <c r="J77" s="1"/>
  <c r="P74"/>
  <c r="O74"/>
  <c r="I74"/>
  <c r="F74"/>
  <c r="D74"/>
  <c r="R73"/>
  <c r="Q73"/>
  <c r="J73"/>
  <c r="H73"/>
  <c r="C73"/>
  <c r="B73"/>
  <c r="S72"/>
  <c r="R72"/>
  <c r="Q72"/>
  <c r="H72"/>
  <c r="J72" s="1"/>
  <c r="C72"/>
  <c r="B72"/>
  <c r="R71"/>
  <c r="Q71"/>
  <c r="H71"/>
  <c r="J71" s="1"/>
  <c r="C71"/>
  <c r="B71"/>
  <c r="R70"/>
  <c r="Q70"/>
  <c r="H70"/>
  <c r="J70" s="1"/>
  <c r="C70"/>
  <c r="B70"/>
  <c r="R69"/>
  <c r="Q69"/>
  <c r="H69"/>
  <c r="J69" s="1"/>
  <c r="C69"/>
  <c r="B69"/>
  <c r="R68"/>
  <c r="S68" s="1"/>
  <c r="Q68"/>
  <c r="J68"/>
  <c r="H68"/>
  <c r="C68"/>
  <c r="B68"/>
  <c r="S67"/>
  <c r="R67"/>
  <c r="Q67"/>
  <c r="H67"/>
  <c r="J67" s="1"/>
  <c r="C67"/>
  <c r="B67"/>
  <c r="R66"/>
  <c r="Q66"/>
  <c r="J66"/>
  <c r="H66"/>
  <c r="C66"/>
  <c r="B66"/>
  <c r="R65"/>
  <c r="Q65"/>
  <c r="H65"/>
  <c r="J65" s="1"/>
  <c r="C65"/>
  <c r="B65"/>
  <c r="R64"/>
  <c r="Q64"/>
  <c r="S64" s="1"/>
  <c r="J64"/>
  <c r="H64"/>
  <c r="C64"/>
  <c r="B64"/>
  <c r="J61"/>
  <c r="AA60"/>
  <c r="V60"/>
  <c r="P60"/>
  <c r="G60"/>
  <c r="AH59"/>
  <c r="AI59" s="1"/>
  <c r="AE59"/>
  <c r="AB59"/>
  <c r="AC59" s="1"/>
  <c r="X59"/>
  <c r="AF59" s="1"/>
  <c r="W59"/>
  <c r="Y59" s="1"/>
  <c r="R59"/>
  <c r="Q59"/>
  <c r="J59"/>
  <c r="I59"/>
  <c r="H59"/>
  <c r="AH58"/>
  <c r="AI58" s="1"/>
  <c r="AE58"/>
  <c r="AB58"/>
  <c r="AC58" s="1"/>
  <c r="X58"/>
  <c r="AF58" s="1"/>
  <c r="W58"/>
  <c r="Y58" s="1"/>
  <c r="R58"/>
  <c r="Q58"/>
  <c r="I58"/>
  <c r="H58"/>
  <c r="AH57"/>
  <c r="AI57" s="1"/>
  <c r="AB57"/>
  <c r="AC57" s="1"/>
  <c r="W57"/>
  <c r="Y57" s="1"/>
  <c r="R57"/>
  <c r="S57" s="1"/>
  <c r="Q57"/>
  <c r="H57"/>
  <c r="J57" s="1"/>
  <c r="AH56"/>
  <c r="AI56" s="1"/>
  <c r="Z56"/>
  <c r="AB56" s="1"/>
  <c r="AC56" s="1"/>
  <c r="W56"/>
  <c r="Y56" s="1"/>
  <c r="S56"/>
  <c r="R56"/>
  <c r="Q56"/>
  <c r="H56"/>
  <c r="J56" s="1"/>
  <c r="AH55"/>
  <c r="AI55" s="1"/>
  <c r="AC55"/>
  <c r="AB55"/>
  <c r="W55"/>
  <c r="Y55" s="1"/>
  <c r="R55"/>
  <c r="Q55"/>
  <c r="H55"/>
  <c r="J55" s="1"/>
  <c r="AI54"/>
  <c r="AH54"/>
  <c r="AB54"/>
  <c r="AC54" s="1"/>
  <c r="Y54"/>
  <c r="W54"/>
  <c r="R54"/>
  <c r="Q54"/>
  <c r="S54" s="1"/>
  <c r="H54"/>
  <c r="J54" s="1"/>
  <c r="AH53"/>
  <c r="AI53" s="1"/>
  <c r="AB53"/>
  <c r="AC53" s="1"/>
  <c r="Y53"/>
  <c r="W53"/>
  <c r="R53"/>
  <c r="Q53"/>
  <c r="J53"/>
  <c r="H53"/>
  <c r="AH52"/>
  <c r="AI52" s="1"/>
  <c r="AC52"/>
  <c r="AB52"/>
  <c r="W52"/>
  <c r="Y52" s="1"/>
  <c r="S52"/>
  <c r="R52"/>
  <c r="Q52"/>
  <c r="H52"/>
  <c r="J52" s="1"/>
  <c r="AH51"/>
  <c r="AI51" s="1"/>
  <c r="AB51"/>
  <c r="AC51" s="1"/>
  <c r="Y51"/>
  <c r="W51"/>
  <c r="R51"/>
  <c r="Q51"/>
  <c r="J51"/>
  <c r="H51"/>
  <c r="AH50"/>
  <c r="AI50" s="1"/>
  <c r="AE50"/>
  <c r="AB50"/>
  <c r="AC50" s="1"/>
  <c r="W50"/>
  <c r="Y50" s="1"/>
  <c r="R50"/>
  <c r="Q50"/>
  <c r="S50" s="1"/>
  <c r="J50"/>
  <c r="H50"/>
  <c r="AH49"/>
  <c r="AI49" s="1"/>
  <c r="AB49"/>
  <c r="AC49" s="1"/>
  <c r="W49"/>
  <c r="Y49" s="1"/>
  <c r="R49"/>
  <c r="Q49"/>
  <c r="H49"/>
  <c r="J49" s="1"/>
  <c r="AH48"/>
  <c r="AI48" s="1"/>
  <c r="AB48"/>
  <c r="AC48" s="1"/>
  <c r="W48"/>
  <c r="Y48" s="1"/>
  <c r="R48"/>
  <c r="S48" s="1"/>
  <c r="Q48"/>
  <c r="H48"/>
  <c r="J48" s="1"/>
  <c r="AH47"/>
  <c r="AI47" s="1"/>
  <c r="AE47"/>
  <c r="AC47"/>
  <c r="AB47"/>
  <c r="W47"/>
  <c r="Y47" s="1"/>
  <c r="S47"/>
  <c r="R47"/>
  <c r="Q47"/>
  <c r="H47"/>
  <c r="J47" s="1"/>
  <c r="AH46"/>
  <c r="AI46" s="1"/>
  <c r="AB46"/>
  <c r="AC46" s="1"/>
  <c r="W46"/>
  <c r="Y46" s="1"/>
  <c r="R46"/>
  <c r="Q46"/>
  <c r="H46"/>
  <c r="J46" s="1"/>
  <c r="AI45"/>
  <c r="AH45"/>
  <c r="AB45"/>
  <c r="AC45" s="1"/>
  <c r="W45"/>
  <c r="Y45" s="1"/>
  <c r="R45"/>
  <c r="S45" s="1"/>
  <c r="Q45"/>
  <c r="H45"/>
  <c r="J45" s="1"/>
  <c r="AH44"/>
  <c r="AI44" s="1"/>
  <c r="AE44"/>
  <c r="AB44"/>
  <c r="AC44" s="1"/>
  <c r="X44"/>
  <c r="AF44" s="1"/>
  <c r="W44"/>
  <c r="Y44" s="1"/>
  <c r="R44"/>
  <c r="Q44"/>
  <c r="J44"/>
  <c r="H44"/>
  <c r="AH43"/>
  <c r="AI43" s="1"/>
  <c r="AB43"/>
  <c r="AC43" s="1"/>
  <c r="Z43"/>
  <c r="W43"/>
  <c r="Y43" s="1"/>
  <c r="R43"/>
  <c r="S43" s="1"/>
  <c r="Q43"/>
  <c r="H43"/>
  <c r="J43" s="1"/>
  <c r="AH42"/>
  <c r="AI42" s="1"/>
  <c r="AE42"/>
  <c r="AB42"/>
  <c r="AC42" s="1"/>
  <c r="Y42"/>
  <c r="W42"/>
  <c r="R42"/>
  <c r="Q42"/>
  <c r="S42" s="1"/>
  <c r="H42"/>
  <c r="J42" s="1"/>
  <c r="AH41"/>
  <c r="AI41" s="1"/>
  <c r="AB41"/>
  <c r="AC41" s="1"/>
  <c r="Y41"/>
  <c r="W41"/>
  <c r="R41"/>
  <c r="Q41"/>
  <c r="J41"/>
  <c r="H41"/>
  <c r="AH40"/>
  <c r="AI40" s="1"/>
  <c r="AC40"/>
  <c r="AB40"/>
  <c r="W40"/>
  <c r="Y40" s="1"/>
  <c r="S40"/>
  <c r="R40"/>
  <c r="Q40"/>
  <c r="H40"/>
  <c r="J40" s="1"/>
  <c r="AH39"/>
  <c r="AI39" s="1"/>
  <c r="AE39"/>
  <c r="AB39"/>
  <c r="AC39" s="1"/>
  <c r="W39"/>
  <c r="Y39" s="1"/>
  <c r="R39"/>
  <c r="S39" s="1"/>
  <c r="Q39"/>
  <c r="H39"/>
  <c r="J39" s="1"/>
  <c r="AI38"/>
  <c r="AH38"/>
  <c r="AE38"/>
  <c r="AB38"/>
  <c r="AC38" s="1"/>
  <c r="Y38"/>
  <c r="W38"/>
  <c r="R38"/>
  <c r="Q38"/>
  <c r="S38" s="1"/>
  <c r="J38"/>
  <c r="H38"/>
  <c r="AH37"/>
  <c r="AI37" s="1"/>
  <c r="AB37"/>
  <c r="AC37" s="1"/>
  <c r="W37"/>
  <c r="Y37" s="1"/>
  <c r="R37"/>
  <c r="S37" s="1"/>
  <c r="Q37"/>
  <c r="H37"/>
  <c r="J37" s="1"/>
  <c r="AH36"/>
  <c r="AI36" s="1"/>
  <c r="AC36"/>
  <c r="AB36"/>
  <c r="W36"/>
  <c r="Y36" s="1"/>
  <c r="R36"/>
  <c r="Q36"/>
  <c r="H36"/>
  <c r="J36" s="1"/>
  <c r="AH35"/>
  <c r="AI35" s="1"/>
  <c r="AE35"/>
  <c r="Z35"/>
  <c r="AB35" s="1"/>
  <c r="AC35" s="1"/>
  <c r="W35"/>
  <c r="Y35" s="1"/>
  <c r="R35"/>
  <c r="Q35"/>
  <c r="H35"/>
  <c r="J35" s="1"/>
  <c r="AI34"/>
  <c r="AB34"/>
  <c r="AC34" s="1"/>
  <c r="W34"/>
  <c r="Y34" s="1"/>
  <c r="R34"/>
  <c r="S34" s="1"/>
  <c r="Q34"/>
  <c r="H34"/>
  <c r="J34" s="1"/>
  <c r="AI33"/>
  <c r="AH33"/>
  <c r="AB33"/>
  <c r="AC33" s="1"/>
  <c r="W33"/>
  <c r="Y33" s="1"/>
  <c r="R33"/>
  <c r="S33" s="1"/>
  <c r="Q33"/>
  <c r="H33"/>
  <c r="J33" s="1"/>
  <c r="AI32"/>
  <c r="AH32"/>
  <c r="AB32"/>
  <c r="AC32" s="1"/>
  <c r="Y32"/>
  <c r="W32"/>
  <c r="R32"/>
  <c r="Q32"/>
  <c r="J32"/>
  <c r="H32"/>
  <c r="AH31"/>
  <c r="AI31" s="1"/>
  <c r="AE31"/>
  <c r="Z31"/>
  <c r="AB31" s="1"/>
  <c r="AC31" s="1"/>
  <c r="W31"/>
  <c r="Y31" s="1"/>
  <c r="R31"/>
  <c r="S31" s="1"/>
  <c r="Q31"/>
  <c r="H31"/>
  <c r="J31" s="1"/>
  <c r="AI30"/>
  <c r="AH30"/>
  <c r="AE30"/>
  <c r="AB30"/>
  <c r="AC30" s="1"/>
  <c r="W30"/>
  <c r="X30" s="1"/>
  <c r="AF30" s="1"/>
  <c r="R30"/>
  <c r="Q30"/>
  <c r="H30"/>
  <c r="J30" s="1"/>
  <c r="AI29"/>
  <c r="AH29"/>
  <c r="AE29"/>
  <c r="AF29" s="1"/>
  <c r="AC29"/>
  <c r="AB29"/>
  <c r="W29"/>
  <c r="Y29" s="1"/>
  <c r="R29"/>
  <c r="S29" s="1"/>
  <c r="Q29"/>
  <c r="H29"/>
  <c r="AH28"/>
  <c r="AI28" s="1"/>
  <c r="AE28"/>
  <c r="AC28"/>
  <c r="AB28"/>
  <c r="W28"/>
  <c r="Y28" s="1"/>
  <c r="R28"/>
  <c r="Q28"/>
  <c r="H28"/>
  <c r="J28" s="1"/>
  <c r="AI27"/>
  <c r="AH27"/>
  <c r="AB27"/>
  <c r="AC27" s="1"/>
  <c r="Y27"/>
  <c r="W27"/>
  <c r="R27"/>
  <c r="Q27"/>
  <c r="S27" s="1"/>
  <c r="H27"/>
  <c r="J27" s="1"/>
  <c r="AH26"/>
  <c r="AI26" s="1"/>
  <c r="AB26"/>
  <c r="AC26" s="1"/>
  <c r="Y26"/>
  <c r="W26"/>
  <c r="R26"/>
  <c r="Q26"/>
  <c r="J26"/>
  <c r="H26"/>
  <c r="E26"/>
  <c r="AH25"/>
  <c r="AI25" s="1"/>
  <c r="AE25"/>
  <c r="AB25"/>
  <c r="AC25" s="1"/>
  <c r="Y25"/>
  <c r="W25"/>
  <c r="R25"/>
  <c r="Q25"/>
  <c r="J25"/>
  <c r="H25"/>
  <c r="AH24"/>
  <c r="AI24" s="1"/>
  <c r="AC24"/>
  <c r="AB24"/>
  <c r="W24"/>
  <c r="Y24" s="1"/>
  <c r="S24"/>
  <c r="Q24"/>
  <c r="H24"/>
  <c r="J24" s="1"/>
  <c r="AH23"/>
  <c r="AI23" s="1"/>
  <c r="AC23"/>
  <c r="AB23"/>
  <c r="W23"/>
  <c r="Y23" s="1"/>
  <c r="S23"/>
  <c r="R23"/>
  <c r="Q23"/>
  <c r="H23"/>
  <c r="J23" s="1"/>
  <c r="AH22"/>
  <c r="AI22" s="1"/>
  <c r="AB22"/>
  <c r="AC22" s="1"/>
  <c r="W22"/>
  <c r="Y22" s="1"/>
  <c r="R22"/>
  <c r="Q22"/>
  <c r="H22"/>
  <c r="J22" s="1"/>
  <c r="AI21"/>
  <c r="AH21"/>
  <c r="AE21"/>
  <c r="AB21"/>
  <c r="AC21" s="1"/>
  <c r="W21"/>
  <c r="X21" s="1"/>
  <c r="AF21" s="1"/>
  <c r="S21"/>
  <c r="R21"/>
  <c r="Q21"/>
  <c r="H21"/>
  <c r="J21" s="1"/>
  <c r="AH20"/>
  <c r="AI20" s="1"/>
  <c r="AE20"/>
  <c r="AB20"/>
  <c r="AC20" s="1"/>
  <c r="Y20"/>
  <c r="W20"/>
  <c r="R20"/>
  <c r="Q20"/>
  <c r="H20"/>
  <c r="AI19"/>
  <c r="AE19"/>
  <c r="AB19"/>
  <c r="AC19" s="1"/>
  <c r="Y19"/>
  <c r="W19"/>
  <c r="X19" s="1"/>
  <c r="AF19" s="1"/>
  <c r="R19"/>
  <c r="Q19"/>
  <c r="H19"/>
  <c r="J19" s="1"/>
  <c r="AI18"/>
  <c r="AH18"/>
  <c r="AE18"/>
  <c r="AB18"/>
  <c r="AC18" s="1"/>
  <c r="W18"/>
  <c r="X18" s="1"/>
  <c r="AF18" s="1"/>
  <c r="R18"/>
  <c r="Q18"/>
  <c r="J18"/>
  <c r="H18"/>
  <c r="AH17"/>
  <c r="AI17" s="1"/>
  <c r="AE17"/>
  <c r="AB17"/>
  <c r="AC17" s="1"/>
  <c r="Y17"/>
  <c r="W17"/>
  <c r="X17" s="1"/>
  <c r="AF17" s="1"/>
  <c r="R17"/>
  <c r="S17" s="1"/>
  <c r="Q17"/>
  <c r="H17"/>
  <c r="J17" s="1"/>
  <c r="AH16"/>
  <c r="AI16" s="1"/>
  <c r="AE16"/>
  <c r="AB16"/>
  <c r="AC16" s="1"/>
  <c r="Z16"/>
  <c r="X16"/>
  <c r="AF16" s="1"/>
  <c r="W16"/>
  <c r="Y16" s="1"/>
  <c r="R16"/>
  <c r="Q16"/>
  <c r="I16"/>
  <c r="H16"/>
  <c r="AH15"/>
  <c r="AI15" s="1"/>
  <c r="AB15"/>
  <c r="AC15" s="1"/>
  <c r="W15"/>
  <c r="Y15" s="1"/>
  <c r="R15"/>
  <c r="Q15"/>
  <c r="H15"/>
  <c r="J15" s="1"/>
  <c r="AH14"/>
  <c r="AI14" s="1"/>
  <c r="AE14"/>
  <c r="AB14"/>
  <c r="AC14" s="1"/>
  <c r="Y14"/>
  <c r="X14"/>
  <c r="AF14" s="1"/>
  <c r="W14"/>
  <c r="R14"/>
  <c r="Q14"/>
  <c r="H14"/>
  <c r="J14" s="1"/>
  <c r="AH13"/>
  <c r="AI13" s="1"/>
  <c r="AB13"/>
  <c r="AC13" s="1"/>
  <c r="W13"/>
  <c r="Y13" s="1"/>
  <c r="R13"/>
  <c r="Q13"/>
  <c r="H13"/>
  <c r="J13" s="1"/>
  <c r="AH12"/>
  <c r="AI12" s="1"/>
  <c r="Z12"/>
  <c r="AB12" s="1"/>
  <c r="AC12" s="1"/>
  <c r="W12"/>
  <c r="Y12" s="1"/>
  <c r="S12"/>
  <c r="R12"/>
  <c r="Q12"/>
  <c r="H12"/>
  <c r="J12" s="1"/>
  <c r="AI11"/>
  <c r="AH11"/>
  <c r="Z11"/>
  <c r="AB11" s="1"/>
  <c r="AC11" s="1"/>
  <c r="Y11"/>
  <c r="W11"/>
  <c r="R11"/>
  <c r="S11" s="1"/>
  <c r="Q11"/>
  <c r="H11"/>
  <c r="J11" s="1"/>
  <c r="AH10"/>
  <c r="AI10" s="1"/>
  <c r="Z10"/>
  <c r="AB10" s="1"/>
  <c r="AC10" s="1"/>
  <c r="W10"/>
  <c r="Y10" s="1"/>
  <c r="R10"/>
  <c r="Q10"/>
  <c r="H10"/>
  <c r="J10" s="1"/>
  <c r="AH9"/>
  <c r="AI9" s="1"/>
  <c r="AB9"/>
  <c r="AC9" s="1"/>
  <c r="W9"/>
  <c r="Y9" s="1"/>
  <c r="S9"/>
  <c r="R9"/>
  <c r="Q9"/>
  <c r="H9"/>
  <c r="J9" s="1"/>
  <c r="AI8"/>
  <c r="AH8"/>
  <c r="AB8"/>
  <c r="AC8" s="1"/>
  <c r="Y8"/>
  <c r="W8"/>
  <c r="R8"/>
  <c r="Q8"/>
  <c r="J8"/>
  <c r="H8"/>
  <c r="AH7"/>
  <c r="AI7" s="1"/>
  <c r="AE7"/>
  <c r="AC7"/>
  <c r="AB7"/>
  <c r="X7"/>
  <c r="W7"/>
  <c r="Y7" s="1"/>
  <c r="S7"/>
  <c r="R7"/>
  <c r="Q7"/>
  <c r="J7"/>
  <c r="I7"/>
  <c r="H7"/>
  <c r="AB6"/>
  <c r="AC6" s="1"/>
  <c r="U6"/>
  <c r="W6" s="1"/>
  <c r="Y6" s="1"/>
  <c r="T6"/>
  <c r="O6"/>
  <c r="O60" s="1"/>
  <c r="N6"/>
  <c r="M6"/>
  <c r="L6"/>
  <c r="K6"/>
  <c r="F6"/>
  <c r="F60" s="1"/>
  <c r="D6"/>
  <c r="R6" s="1"/>
  <c r="B6"/>
  <c r="A6"/>
  <c r="AI5"/>
  <c r="AE5"/>
  <c r="AB5"/>
  <c r="W5"/>
  <c r="R5"/>
  <c r="Q5"/>
  <c r="H5"/>
  <c r="J5" s="1"/>
  <c r="AE5" i="4"/>
  <c r="AF5" s="1"/>
  <c r="AE7"/>
  <c r="AE14"/>
  <c r="AF14" s="1"/>
  <c r="AE16"/>
  <c r="AE17"/>
  <c r="AF17" s="1"/>
  <c r="AE18"/>
  <c r="AF18"/>
  <c r="AE19"/>
  <c r="AF19" s="1"/>
  <c r="AE25"/>
  <c r="AE28"/>
  <c r="AF28" s="1"/>
  <c r="AE29"/>
  <c r="AF29"/>
  <c r="AE30"/>
  <c r="AF30" s="1"/>
  <c r="AE31"/>
  <c r="AE35"/>
  <c r="AE38"/>
  <c r="AE39"/>
  <c r="AE42"/>
  <c r="AE44"/>
  <c r="AF44" s="1"/>
  <c r="AE47"/>
  <c r="AE50"/>
  <c r="AE58"/>
  <c r="AE59"/>
  <c r="AG74"/>
  <c r="AG69"/>
  <c r="AG68"/>
  <c r="AG67"/>
  <c r="R90"/>
  <c r="S90" s="1"/>
  <c r="R89"/>
  <c r="R88"/>
  <c r="R80"/>
  <c r="R81"/>
  <c r="R82"/>
  <c r="R83"/>
  <c r="R85"/>
  <c r="R79"/>
  <c r="R77"/>
  <c r="R65"/>
  <c r="R66"/>
  <c r="R67"/>
  <c r="R68"/>
  <c r="S68" s="1"/>
  <c r="R69"/>
  <c r="S69" s="1"/>
  <c r="R70"/>
  <c r="R71"/>
  <c r="R72"/>
  <c r="S72" s="1"/>
  <c r="R73"/>
  <c r="R64"/>
  <c r="R55"/>
  <c r="R56"/>
  <c r="R57"/>
  <c r="R54"/>
  <c r="R52"/>
  <c r="R48"/>
  <c r="S48" s="1"/>
  <c r="R49"/>
  <c r="R50"/>
  <c r="R47"/>
  <c r="R41"/>
  <c r="R42"/>
  <c r="R43"/>
  <c r="R44"/>
  <c r="R45"/>
  <c r="R40"/>
  <c r="R36"/>
  <c r="R37"/>
  <c r="R38"/>
  <c r="R35"/>
  <c r="R31"/>
  <c r="R32"/>
  <c r="R30"/>
  <c r="S30" s="1"/>
  <c r="R28"/>
  <c r="R26"/>
  <c r="R25"/>
  <c r="R22"/>
  <c r="S22" s="1"/>
  <c r="R23"/>
  <c r="R21"/>
  <c r="R18"/>
  <c r="R19"/>
  <c r="S19" s="1"/>
  <c r="R17"/>
  <c r="R11"/>
  <c r="R12"/>
  <c r="R13"/>
  <c r="R14"/>
  <c r="R15"/>
  <c r="R9"/>
  <c r="R10"/>
  <c r="S10" s="1"/>
  <c r="R8"/>
  <c r="R5"/>
  <c r="M66"/>
  <c r="I90"/>
  <c r="I89"/>
  <c r="I88"/>
  <c r="I80"/>
  <c r="J80" s="1"/>
  <c r="I81"/>
  <c r="I82"/>
  <c r="I83"/>
  <c r="I84"/>
  <c r="I85"/>
  <c r="I86"/>
  <c r="I79"/>
  <c r="I77"/>
  <c r="J77" s="1"/>
  <c r="I69"/>
  <c r="I68"/>
  <c r="I67"/>
  <c r="I66"/>
  <c r="J66" s="1"/>
  <c r="I65"/>
  <c r="I64"/>
  <c r="I59"/>
  <c r="I58"/>
  <c r="J58" s="1"/>
  <c r="I56"/>
  <c r="I53"/>
  <c r="I52"/>
  <c r="I41"/>
  <c r="I40"/>
  <c r="I31"/>
  <c r="I30"/>
  <c r="I28"/>
  <c r="I24"/>
  <c r="J24" s="1"/>
  <c r="I21"/>
  <c r="I17"/>
  <c r="I16"/>
  <c r="I9"/>
  <c r="I26" s="1"/>
  <c r="I7"/>
  <c r="I8"/>
  <c r="I45" s="1"/>
  <c r="I5"/>
  <c r="I54" s="1"/>
  <c r="B108"/>
  <c r="D102"/>
  <c r="D100"/>
  <c r="P91"/>
  <c r="O91"/>
  <c r="F91"/>
  <c r="Q90"/>
  <c r="H90"/>
  <c r="J90" s="1"/>
  <c r="Q89"/>
  <c r="H89"/>
  <c r="Q88"/>
  <c r="H88"/>
  <c r="R87"/>
  <c r="Q87"/>
  <c r="H87"/>
  <c r="J87" s="1"/>
  <c r="S86"/>
  <c r="R86"/>
  <c r="Q86"/>
  <c r="H86"/>
  <c r="Q85"/>
  <c r="H85"/>
  <c r="Q84"/>
  <c r="H84"/>
  <c r="D84"/>
  <c r="R84" s="1"/>
  <c r="Q83"/>
  <c r="J83"/>
  <c r="H83"/>
  <c r="Q82"/>
  <c r="S82" s="1"/>
  <c r="J82"/>
  <c r="H82"/>
  <c r="Q81"/>
  <c r="H81"/>
  <c r="Q80"/>
  <c r="H80"/>
  <c r="Q79"/>
  <c r="H79"/>
  <c r="R78"/>
  <c r="S78" s="1"/>
  <c r="Q78"/>
  <c r="H78"/>
  <c r="J78" s="1"/>
  <c r="Q77"/>
  <c r="H77"/>
  <c r="AO75"/>
  <c r="P74"/>
  <c r="O74"/>
  <c r="F74"/>
  <c r="D74"/>
  <c r="Q73"/>
  <c r="H73"/>
  <c r="C73"/>
  <c r="B73"/>
  <c r="Q72"/>
  <c r="H72"/>
  <c r="C72"/>
  <c r="B72"/>
  <c r="Q71"/>
  <c r="H71"/>
  <c r="C71"/>
  <c r="B71"/>
  <c r="Q70"/>
  <c r="H70"/>
  <c r="C70"/>
  <c r="B70"/>
  <c r="Q69"/>
  <c r="H69"/>
  <c r="C69"/>
  <c r="B69"/>
  <c r="Q68"/>
  <c r="J68"/>
  <c r="H68"/>
  <c r="C68"/>
  <c r="B68"/>
  <c r="Q67"/>
  <c r="H67"/>
  <c r="C67"/>
  <c r="B67"/>
  <c r="Q66"/>
  <c r="H66"/>
  <c r="C66"/>
  <c r="B66"/>
  <c r="Q65"/>
  <c r="H65"/>
  <c r="C65"/>
  <c r="B65"/>
  <c r="Q64"/>
  <c r="H64"/>
  <c r="J64" s="1"/>
  <c r="C64"/>
  <c r="B64"/>
  <c r="J61"/>
  <c r="AA60"/>
  <c r="V60"/>
  <c r="P60"/>
  <c r="G60"/>
  <c r="AO59"/>
  <c r="AH59"/>
  <c r="AI59" s="1"/>
  <c r="AK59" s="1"/>
  <c r="AB59"/>
  <c r="AC59" s="1"/>
  <c r="X59"/>
  <c r="W59"/>
  <c r="Y59" s="1"/>
  <c r="R59"/>
  <c r="S59" s="1"/>
  <c r="Q59"/>
  <c r="H59"/>
  <c r="AM58"/>
  <c r="AO58" s="1"/>
  <c r="AH58"/>
  <c r="AI58" s="1"/>
  <c r="AK58" s="1"/>
  <c r="AB58"/>
  <c r="AC58" s="1"/>
  <c r="Y58"/>
  <c r="X58"/>
  <c r="W58"/>
  <c r="R58"/>
  <c r="Q58"/>
  <c r="H58"/>
  <c r="AO57"/>
  <c r="AH57"/>
  <c r="AI57" s="1"/>
  <c r="AK57" s="1"/>
  <c r="AB57"/>
  <c r="AC57" s="1"/>
  <c r="W57"/>
  <c r="Y57" s="1"/>
  <c r="Q57"/>
  <c r="H57"/>
  <c r="AO56"/>
  <c r="AI56"/>
  <c r="AK56" s="1"/>
  <c r="AH56"/>
  <c r="Z56"/>
  <c r="AB56" s="1"/>
  <c r="AC56" s="1"/>
  <c r="Y56"/>
  <c r="W56"/>
  <c r="Q56"/>
  <c r="H56"/>
  <c r="AO55"/>
  <c r="AH55"/>
  <c r="AI55" s="1"/>
  <c r="AK55" s="1"/>
  <c r="AB55"/>
  <c r="AC55" s="1"/>
  <c r="Y55"/>
  <c r="W55"/>
  <c r="Q55"/>
  <c r="H55"/>
  <c r="AO54"/>
  <c r="AH54"/>
  <c r="AI54" s="1"/>
  <c r="AK54" s="1"/>
  <c r="AB54"/>
  <c r="AC54" s="1"/>
  <c r="W54"/>
  <c r="Y54" s="1"/>
  <c r="Q54"/>
  <c r="S54" s="1"/>
  <c r="H54"/>
  <c r="AO53"/>
  <c r="AH53"/>
  <c r="AI53" s="1"/>
  <c r="AK53" s="1"/>
  <c r="AB53"/>
  <c r="AC53" s="1"/>
  <c r="Y53"/>
  <c r="W53"/>
  <c r="R53"/>
  <c r="S53" s="1"/>
  <c r="Q53"/>
  <c r="H53"/>
  <c r="AO52"/>
  <c r="AH52"/>
  <c r="AI52" s="1"/>
  <c r="AK52" s="1"/>
  <c r="AC52"/>
  <c r="AB52"/>
  <c r="W52"/>
  <c r="Y52" s="1"/>
  <c r="Q52"/>
  <c r="H52"/>
  <c r="AO51"/>
  <c r="AH51"/>
  <c r="AI51" s="1"/>
  <c r="AK51" s="1"/>
  <c r="AC51"/>
  <c r="AB51"/>
  <c r="W51"/>
  <c r="Y51" s="1"/>
  <c r="R51"/>
  <c r="S51" s="1"/>
  <c r="Q51"/>
  <c r="H51"/>
  <c r="J51" s="1"/>
  <c r="AO50"/>
  <c r="AH50"/>
  <c r="AI50" s="1"/>
  <c r="AK50" s="1"/>
  <c r="AB50"/>
  <c r="AC50" s="1"/>
  <c r="W50"/>
  <c r="Y50" s="1"/>
  <c r="Q50"/>
  <c r="H50"/>
  <c r="AO49"/>
  <c r="AH49"/>
  <c r="AI49" s="1"/>
  <c r="AK49" s="1"/>
  <c r="AB49"/>
  <c r="AC49" s="1"/>
  <c r="W49"/>
  <c r="Y49" s="1"/>
  <c r="Q49"/>
  <c r="H49"/>
  <c r="AO48"/>
  <c r="AI48"/>
  <c r="AK48" s="1"/>
  <c r="AH48"/>
  <c r="AB48"/>
  <c r="AC48" s="1"/>
  <c r="W48"/>
  <c r="Y48" s="1"/>
  <c r="Q48"/>
  <c r="H48"/>
  <c r="AO47"/>
  <c r="AI47"/>
  <c r="AK47" s="1"/>
  <c r="AH47"/>
  <c r="AC47"/>
  <c r="AB47"/>
  <c r="W47"/>
  <c r="Y47" s="1"/>
  <c r="Q47"/>
  <c r="H47"/>
  <c r="AO46"/>
  <c r="AH46"/>
  <c r="AI46" s="1"/>
  <c r="AK46" s="1"/>
  <c r="AB46"/>
  <c r="AC46" s="1"/>
  <c r="W46"/>
  <c r="Y46" s="1"/>
  <c r="R46"/>
  <c r="Q46"/>
  <c r="S46" s="1"/>
  <c r="H46"/>
  <c r="AO45"/>
  <c r="AH45"/>
  <c r="AI45" s="1"/>
  <c r="AK45" s="1"/>
  <c r="AB45"/>
  <c r="AC45" s="1"/>
  <c r="Y45"/>
  <c r="W45"/>
  <c r="Q45"/>
  <c r="H45"/>
  <c r="AO44"/>
  <c r="AH44"/>
  <c r="AI44" s="1"/>
  <c r="AK44" s="1"/>
  <c r="AB44"/>
  <c r="AC44" s="1"/>
  <c r="Y44"/>
  <c r="W44"/>
  <c r="X44" s="1"/>
  <c r="Q44"/>
  <c r="H44"/>
  <c r="AO43"/>
  <c r="AH43"/>
  <c r="AI43" s="1"/>
  <c r="AK43" s="1"/>
  <c r="Z43"/>
  <c r="AB43" s="1"/>
  <c r="AC43" s="1"/>
  <c r="W43"/>
  <c r="Y43" s="1"/>
  <c r="Q43"/>
  <c r="H43"/>
  <c r="AO42"/>
  <c r="AH42"/>
  <c r="AI42" s="1"/>
  <c r="AK42" s="1"/>
  <c r="AC42"/>
  <c r="AB42"/>
  <c r="W42"/>
  <c r="Y42" s="1"/>
  <c r="Q42"/>
  <c r="H42"/>
  <c r="AO41"/>
  <c r="AH41"/>
  <c r="AI41" s="1"/>
  <c r="AK41" s="1"/>
  <c r="AC41"/>
  <c r="AB41"/>
  <c r="W41"/>
  <c r="Y41" s="1"/>
  <c r="Q41"/>
  <c r="H41"/>
  <c r="AO40"/>
  <c r="AH40"/>
  <c r="AI40" s="1"/>
  <c r="AK40" s="1"/>
  <c r="AC40"/>
  <c r="AB40"/>
  <c r="W40"/>
  <c r="Y40" s="1"/>
  <c r="Q40"/>
  <c r="H40"/>
  <c r="AO39"/>
  <c r="AH39"/>
  <c r="AI39" s="1"/>
  <c r="AK39" s="1"/>
  <c r="AB39"/>
  <c r="AC39" s="1"/>
  <c r="W39"/>
  <c r="Y39" s="1"/>
  <c r="R39"/>
  <c r="S39" s="1"/>
  <c r="Q39"/>
  <c r="H39"/>
  <c r="J39" s="1"/>
  <c r="AO38"/>
  <c r="AI38"/>
  <c r="AK38" s="1"/>
  <c r="AH38"/>
  <c r="AC38"/>
  <c r="AB38"/>
  <c r="W38"/>
  <c r="Y38" s="1"/>
  <c r="S38"/>
  <c r="Q38"/>
  <c r="H38"/>
  <c r="AO37"/>
  <c r="AH37"/>
  <c r="AI37" s="1"/>
  <c r="AK37" s="1"/>
  <c r="AC37"/>
  <c r="AB37"/>
  <c r="W37"/>
  <c r="Y37" s="1"/>
  <c r="Q37"/>
  <c r="H37"/>
  <c r="AO36"/>
  <c r="AH36"/>
  <c r="AI36" s="1"/>
  <c r="AK36" s="1"/>
  <c r="AC36"/>
  <c r="AB36"/>
  <c r="W36"/>
  <c r="Y36" s="1"/>
  <c r="Q36"/>
  <c r="H36"/>
  <c r="AO35"/>
  <c r="AH35"/>
  <c r="AI35" s="1"/>
  <c r="AK35" s="1"/>
  <c r="Z35"/>
  <c r="AB35" s="1"/>
  <c r="AC35" s="1"/>
  <c r="Y35"/>
  <c r="W35"/>
  <c r="Q35"/>
  <c r="H35"/>
  <c r="AO34"/>
  <c r="AK34"/>
  <c r="AI34"/>
  <c r="AB34"/>
  <c r="AC34" s="1"/>
  <c r="W34"/>
  <c r="Y34" s="1"/>
  <c r="R34"/>
  <c r="S34" s="1"/>
  <c r="Q34"/>
  <c r="H34"/>
  <c r="AO33"/>
  <c r="AI33"/>
  <c r="AK33" s="1"/>
  <c r="AH33"/>
  <c r="AB33"/>
  <c r="AC33" s="1"/>
  <c r="W33"/>
  <c r="Y33" s="1"/>
  <c r="R33"/>
  <c r="S33" s="1"/>
  <c r="Q33"/>
  <c r="H33"/>
  <c r="J33" s="1"/>
  <c r="AO32"/>
  <c r="AI32"/>
  <c r="AK32" s="1"/>
  <c r="AH32"/>
  <c r="AB32"/>
  <c r="AC32" s="1"/>
  <c r="W32"/>
  <c r="Y32" s="1"/>
  <c r="Q32"/>
  <c r="H32"/>
  <c r="AO31"/>
  <c r="AI31"/>
  <c r="AK31" s="1"/>
  <c r="AH31"/>
  <c r="Z31"/>
  <c r="AB31" s="1"/>
  <c r="AC31" s="1"/>
  <c r="W31"/>
  <c r="Y31" s="1"/>
  <c r="Q31"/>
  <c r="H31"/>
  <c r="J31" s="1"/>
  <c r="AO30"/>
  <c r="AI30"/>
  <c r="AK30" s="1"/>
  <c r="AH30"/>
  <c r="AB30"/>
  <c r="AC30" s="1"/>
  <c r="Y30"/>
  <c r="W30"/>
  <c r="X30" s="1"/>
  <c r="Q30"/>
  <c r="H30"/>
  <c r="AO29"/>
  <c r="AH29"/>
  <c r="AI29" s="1"/>
  <c r="AK29" s="1"/>
  <c r="AB29"/>
  <c r="AC29" s="1"/>
  <c r="W29"/>
  <c r="Y29" s="1"/>
  <c r="R29"/>
  <c r="Q29"/>
  <c r="H29"/>
  <c r="AO28"/>
  <c r="AH28"/>
  <c r="AI28" s="1"/>
  <c r="AK28" s="1"/>
  <c r="AB28"/>
  <c r="AC28" s="1"/>
  <c r="W28"/>
  <c r="Y28" s="1"/>
  <c r="Q28"/>
  <c r="H28"/>
  <c r="AO27"/>
  <c r="AH27"/>
  <c r="AI27" s="1"/>
  <c r="AK27" s="1"/>
  <c r="AB27"/>
  <c r="AC27" s="1"/>
  <c r="Y27"/>
  <c r="W27"/>
  <c r="R27"/>
  <c r="Q27"/>
  <c r="H27"/>
  <c r="J27" s="1"/>
  <c r="AO26"/>
  <c r="AH26"/>
  <c r="AI26" s="1"/>
  <c r="AK26" s="1"/>
  <c r="AC26"/>
  <c r="AB26"/>
  <c r="W26"/>
  <c r="Y26" s="1"/>
  <c r="Q26"/>
  <c r="H26"/>
  <c r="E26"/>
  <c r="AO25"/>
  <c r="AI25"/>
  <c r="AK25" s="1"/>
  <c r="AH25"/>
  <c r="AB25"/>
  <c r="AC25" s="1"/>
  <c r="Y25"/>
  <c r="W25"/>
  <c r="Q25"/>
  <c r="H25"/>
  <c r="AO24"/>
  <c r="AH24"/>
  <c r="AI24" s="1"/>
  <c r="AK24" s="1"/>
  <c r="AB24"/>
  <c r="AC24" s="1"/>
  <c r="W24"/>
  <c r="Y24" s="1"/>
  <c r="Q24"/>
  <c r="S24" s="1"/>
  <c r="H24"/>
  <c r="AH23"/>
  <c r="AI23" s="1"/>
  <c r="AK23" s="1"/>
  <c r="AC23"/>
  <c r="AB23"/>
  <c r="W23"/>
  <c r="Y23" s="1"/>
  <c r="Q23"/>
  <c r="H23"/>
  <c r="AO22"/>
  <c r="AH22"/>
  <c r="AI22" s="1"/>
  <c r="AK22" s="1"/>
  <c r="AC22"/>
  <c r="AB22"/>
  <c r="W22"/>
  <c r="Y22" s="1"/>
  <c r="Q22"/>
  <c r="H22"/>
  <c r="AO21"/>
  <c r="AH21"/>
  <c r="AI21" s="1"/>
  <c r="AK21" s="1"/>
  <c r="AE21"/>
  <c r="AB21"/>
  <c r="AC21" s="1"/>
  <c r="W21"/>
  <c r="Y21" s="1"/>
  <c r="Q21"/>
  <c r="H21"/>
  <c r="AO20"/>
  <c r="AH20"/>
  <c r="AI20" s="1"/>
  <c r="AK20" s="1"/>
  <c r="AE20"/>
  <c r="AB20"/>
  <c r="AC20" s="1"/>
  <c r="W20"/>
  <c r="Y20" s="1"/>
  <c r="R20"/>
  <c r="S20" s="1"/>
  <c r="Q20"/>
  <c r="H20"/>
  <c r="AO19"/>
  <c r="AK19"/>
  <c r="AI19"/>
  <c r="AB19"/>
  <c r="AC19" s="1"/>
  <c r="W19"/>
  <c r="X19" s="1"/>
  <c r="Q19"/>
  <c r="H19"/>
  <c r="AO18"/>
  <c r="AH18"/>
  <c r="AI18" s="1"/>
  <c r="AK18" s="1"/>
  <c r="AC18"/>
  <c r="AB18"/>
  <c r="W18"/>
  <c r="X18" s="1"/>
  <c r="Q18"/>
  <c r="H18"/>
  <c r="AO17"/>
  <c r="AN17"/>
  <c r="AN60" s="1"/>
  <c r="AH17"/>
  <c r="AI17" s="1"/>
  <c r="AK17" s="1"/>
  <c r="AB17"/>
  <c r="AC17" s="1"/>
  <c r="X17"/>
  <c r="W17"/>
  <c r="Y17" s="1"/>
  <c r="Q17"/>
  <c r="H17"/>
  <c r="J17" s="1"/>
  <c r="AO16"/>
  <c r="AH16"/>
  <c r="AI16" s="1"/>
  <c r="AK16" s="1"/>
  <c r="Z16"/>
  <c r="AB16" s="1"/>
  <c r="AC16" s="1"/>
  <c r="X16"/>
  <c r="AF16" s="1"/>
  <c r="W16"/>
  <c r="Y16" s="1"/>
  <c r="R16"/>
  <c r="S16" s="1"/>
  <c r="Q16"/>
  <c r="H16"/>
  <c r="AO15"/>
  <c r="AH15"/>
  <c r="AI15" s="1"/>
  <c r="AK15" s="1"/>
  <c r="AB15"/>
  <c r="AC15" s="1"/>
  <c r="W15"/>
  <c r="Y15" s="1"/>
  <c r="Q15"/>
  <c r="S15" s="1"/>
  <c r="H15"/>
  <c r="AO14"/>
  <c r="AH14"/>
  <c r="AI14" s="1"/>
  <c r="AK14" s="1"/>
  <c r="AB14"/>
  <c r="AC14" s="1"/>
  <c r="W14"/>
  <c r="Y14" s="1"/>
  <c r="Q14"/>
  <c r="H14"/>
  <c r="AO13"/>
  <c r="AH13"/>
  <c r="AI13" s="1"/>
  <c r="AK13" s="1"/>
  <c r="AB13"/>
  <c r="AC13" s="1"/>
  <c r="Y13"/>
  <c r="W13"/>
  <c r="Q13"/>
  <c r="H13"/>
  <c r="AO12"/>
  <c r="AH12"/>
  <c r="AI12" s="1"/>
  <c r="AK12" s="1"/>
  <c r="Z12"/>
  <c r="AB12" s="1"/>
  <c r="AC12" s="1"/>
  <c r="W12"/>
  <c r="Y12" s="1"/>
  <c r="Q12"/>
  <c r="H12"/>
  <c r="AO11"/>
  <c r="AH11"/>
  <c r="AI11" s="1"/>
  <c r="AK11" s="1"/>
  <c r="Z11"/>
  <c r="AB11" s="1"/>
  <c r="AC11" s="1"/>
  <c r="W11"/>
  <c r="Y11" s="1"/>
  <c r="Q11"/>
  <c r="H11"/>
  <c r="AO10"/>
  <c r="AH10"/>
  <c r="AI10" s="1"/>
  <c r="AK10" s="1"/>
  <c r="Z10"/>
  <c r="AB10" s="1"/>
  <c r="AC10" s="1"/>
  <c r="W10"/>
  <c r="Y10" s="1"/>
  <c r="Q10"/>
  <c r="H10"/>
  <c r="AO9"/>
  <c r="AH9"/>
  <c r="AI9" s="1"/>
  <c r="AK9" s="1"/>
  <c r="AB9"/>
  <c r="AC9" s="1"/>
  <c r="W9"/>
  <c r="Y9" s="1"/>
  <c r="Q9"/>
  <c r="H9"/>
  <c r="AO8"/>
  <c r="AH8"/>
  <c r="AI8" s="1"/>
  <c r="AK8" s="1"/>
  <c r="AB8"/>
  <c r="AC8" s="1"/>
  <c r="W8"/>
  <c r="Y8" s="1"/>
  <c r="Q8"/>
  <c r="J8"/>
  <c r="H8"/>
  <c r="AO7"/>
  <c r="AH7"/>
  <c r="AI7" s="1"/>
  <c r="AK7" s="1"/>
  <c r="AB7"/>
  <c r="AC7" s="1"/>
  <c r="X7"/>
  <c r="AF7" s="1"/>
  <c r="W7"/>
  <c r="Y7" s="1"/>
  <c r="R7"/>
  <c r="Q7"/>
  <c r="H7"/>
  <c r="AO6"/>
  <c r="AC6"/>
  <c r="AB6"/>
  <c r="U6"/>
  <c r="W6" s="1"/>
  <c r="Y6" s="1"/>
  <c r="T6"/>
  <c r="O6"/>
  <c r="N6"/>
  <c r="M6"/>
  <c r="L6"/>
  <c r="K6"/>
  <c r="F6"/>
  <c r="F60" s="1"/>
  <c r="D6"/>
  <c r="R6" s="1"/>
  <c r="B6"/>
  <c r="A6"/>
  <c r="AO5"/>
  <c r="AI5"/>
  <c r="AK5" s="1"/>
  <c r="AB5"/>
  <c r="AC5" s="1"/>
  <c r="W5"/>
  <c r="Y5" s="1"/>
  <c r="Q5"/>
  <c r="H5"/>
  <c r="H18" i="2"/>
  <c r="G18"/>
  <c r="F18"/>
  <c r="E18"/>
  <c r="H16"/>
  <c r="H15"/>
  <c r="G16"/>
  <c r="G15"/>
  <c r="F16"/>
  <c r="F15"/>
  <c r="E16"/>
  <c r="E15"/>
  <c r="H14"/>
  <c r="G14"/>
  <c r="F14"/>
  <c r="E14"/>
  <c r="D18"/>
  <c r="C18"/>
  <c r="D8"/>
  <c r="D7"/>
  <c r="D10" s="1"/>
  <c r="B105" i="1"/>
  <c r="D99"/>
  <c r="D97"/>
  <c r="P89"/>
  <c r="O89"/>
  <c r="I89"/>
  <c r="F89"/>
  <c r="R88"/>
  <c r="Q88"/>
  <c r="J88"/>
  <c r="H88"/>
  <c r="R87"/>
  <c r="Q87"/>
  <c r="S87" s="1"/>
  <c r="H87"/>
  <c r="J87" s="1"/>
  <c r="R86"/>
  <c r="Q86"/>
  <c r="J86"/>
  <c r="H86"/>
  <c r="R85"/>
  <c r="Q85"/>
  <c r="S85" s="1"/>
  <c r="H85"/>
  <c r="J85" s="1"/>
  <c r="R84"/>
  <c r="Q84"/>
  <c r="J84"/>
  <c r="H84"/>
  <c r="R83"/>
  <c r="Q83"/>
  <c r="S83" s="1"/>
  <c r="H83"/>
  <c r="J83" s="1"/>
  <c r="Q82"/>
  <c r="H82"/>
  <c r="J82" s="1"/>
  <c r="D82"/>
  <c r="R82" s="1"/>
  <c r="S82" s="1"/>
  <c r="R81"/>
  <c r="Q81"/>
  <c r="S81" s="1"/>
  <c r="J81"/>
  <c r="H81"/>
  <c r="R80"/>
  <c r="Q80"/>
  <c r="J80"/>
  <c r="H80"/>
  <c r="R79"/>
  <c r="S79" s="1"/>
  <c r="Q79"/>
  <c r="J79"/>
  <c r="H79"/>
  <c r="R78"/>
  <c r="S78" s="1"/>
  <c r="Q78"/>
  <c r="J78"/>
  <c r="H78"/>
  <c r="S77"/>
  <c r="R77"/>
  <c r="Q77"/>
  <c r="H77"/>
  <c r="J77" s="1"/>
  <c r="AD77" s="1"/>
  <c r="R76"/>
  <c r="S76" s="1"/>
  <c r="Q76"/>
  <c r="H76"/>
  <c r="J76" s="1"/>
  <c r="AD76" s="1"/>
  <c r="S75"/>
  <c r="R75"/>
  <c r="Q75"/>
  <c r="J75"/>
  <c r="AD75" s="1"/>
  <c r="H75"/>
  <c r="AO73"/>
  <c r="P72"/>
  <c r="O72"/>
  <c r="I72"/>
  <c r="F72"/>
  <c r="D72"/>
  <c r="R71"/>
  <c r="S71" s="1"/>
  <c r="Q71"/>
  <c r="J71"/>
  <c r="H71"/>
  <c r="C71"/>
  <c r="B71"/>
  <c r="R70"/>
  <c r="Q70"/>
  <c r="S70" s="1"/>
  <c r="H70"/>
  <c r="J70" s="1"/>
  <c r="C70"/>
  <c r="B70"/>
  <c r="S69"/>
  <c r="R69"/>
  <c r="Q69"/>
  <c r="H69"/>
  <c r="J69" s="1"/>
  <c r="AD69" s="1"/>
  <c r="AE69" s="1"/>
  <c r="C69"/>
  <c r="B69"/>
  <c r="R68"/>
  <c r="Q68"/>
  <c r="S68" s="1"/>
  <c r="J68"/>
  <c r="H68"/>
  <c r="C68"/>
  <c r="B68"/>
  <c r="R67"/>
  <c r="S67" s="1"/>
  <c r="Q67"/>
  <c r="H67"/>
  <c r="J67" s="1"/>
  <c r="C67"/>
  <c r="B67"/>
  <c r="R66"/>
  <c r="S66" s="1"/>
  <c r="Q66"/>
  <c r="H66"/>
  <c r="J66" s="1"/>
  <c r="C66"/>
  <c r="B66"/>
  <c r="S65"/>
  <c r="R65"/>
  <c r="Q65"/>
  <c r="J65"/>
  <c r="AD65" s="1"/>
  <c r="AE65" s="1"/>
  <c r="H65"/>
  <c r="C65"/>
  <c r="B65"/>
  <c r="R64"/>
  <c r="Q64"/>
  <c r="J64"/>
  <c r="H64"/>
  <c r="C64"/>
  <c r="B64"/>
  <c r="R63"/>
  <c r="S63" s="1"/>
  <c r="Q63"/>
  <c r="J63"/>
  <c r="H63"/>
  <c r="C63"/>
  <c r="B63"/>
  <c r="S62"/>
  <c r="R62"/>
  <c r="Q62"/>
  <c r="H62"/>
  <c r="C62"/>
  <c r="B62"/>
  <c r="J59"/>
  <c r="AA58"/>
  <c r="V58"/>
  <c r="P58"/>
  <c r="G58"/>
  <c r="AO57"/>
  <c r="AI57"/>
  <c r="AK57" s="1"/>
  <c r="AH57"/>
  <c r="AE57"/>
  <c r="AB57"/>
  <c r="AC57" s="1"/>
  <c r="Y57"/>
  <c r="X57"/>
  <c r="AF57" s="1"/>
  <c r="W57"/>
  <c r="S57"/>
  <c r="R57"/>
  <c r="Q57"/>
  <c r="I57"/>
  <c r="H57"/>
  <c r="AO56"/>
  <c r="AM56"/>
  <c r="AM58" s="1"/>
  <c r="AI56"/>
  <c r="AK56" s="1"/>
  <c r="AH56"/>
  <c r="AE56"/>
  <c r="AB56"/>
  <c r="AC56" s="1"/>
  <c r="Y56"/>
  <c r="X56"/>
  <c r="AF56" s="1"/>
  <c r="W56"/>
  <c r="S56"/>
  <c r="R56"/>
  <c r="Q56"/>
  <c r="I56"/>
  <c r="H56"/>
  <c r="AO55"/>
  <c r="AI55"/>
  <c r="AK55" s="1"/>
  <c r="AH55"/>
  <c r="AB55"/>
  <c r="AC55" s="1"/>
  <c r="Y55"/>
  <c r="W55"/>
  <c r="R55"/>
  <c r="Q55"/>
  <c r="J55"/>
  <c r="H55"/>
  <c r="AO54"/>
  <c r="AK54"/>
  <c r="AI54"/>
  <c r="AH54"/>
  <c r="Z54"/>
  <c r="AB54" s="1"/>
  <c r="AC54" s="1"/>
  <c r="Y54"/>
  <c r="W54"/>
  <c r="R54"/>
  <c r="Q54"/>
  <c r="S54" s="1"/>
  <c r="J54"/>
  <c r="H54"/>
  <c r="AO53"/>
  <c r="AK53"/>
  <c r="AI53"/>
  <c r="AH53"/>
  <c r="AB53"/>
  <c r="AC53" s="1"/>
  <c r="Y53"/>
  <c r="W53"/>
  <c r="R53"/>
  <c r="S53" s="1"/>
  <c r="Q53"/>
  <c r="H53"/>
  <c r="J53" s="1"/>
  <c r="AO52"/>
  <c r="AH52"/>
  <c r="AI52" s="1"/>
  <c r="AK52" s="1"/>
  <c r="AC52"/>
  <c r="AB52"/>
  <c r="W52"/>
  <c r="Y52" s="1"/>
  <c r="R52"/>
  <c r="Q52"/>
  <c r="H52"/>
  <c r="J52" s="1"/>
  <c r="AO51"/>
  <c r="AH51"/>
  <c r="AI51" s="1"/>
  <c r="AK51" s="1"/>
  <c r="AC51"/>
  <c r="AB51"/>
  <c r="W51"/>
  <c r="Y51" s="1"/>
  <c r="S51"/>
  <c r="R51"/>
  <c r="Q51"/>
  <c r="H51"/>
  <c r="J51" s="1"/>
  <c r="AO50"/>
  <c r="AH50"/>
  <c r="AI50" s="1"/>
  <c r="AK50" s="1"/>
  <c r="AB50"/>
  <c r="AC50" s="1"/>
  <c r="Y50"/>
  <c r="W50"/>
  <c r="R50"/>
  <c r="Q50"/>
  <c r="S50" s="1"/>
  <c r="J50"/>
  <c r="H50"/>
  <c r="AO49"/>
  <c r="AK49"/>
  <c r="AI49"/>
  <c r="AH49"/>
  <c r="AB49"/>
  <c r="AC49" s="1"/>
  <c r="Y49"/>
  <c r="W49"/>
  <c r="R49"/>
  <c r="S49" s="1"/>
  <c r="Q49"/>
  <c r="H49"/>
  <c r="J49" s="1"/>
  <c r="AO48"/>
  <c r="AH48"/>
  <c r="AI48" s="1"/>
  <c r="AK48" s="1"/>
  <c r="AE48"/>
  <c r="AB48"/>
  <c r="AC48" s="1"/>
  <c r="W48"/>
  <c r="Y48" s="1"/>
  <c r="R48"/>
  <c r="S48" s="1"/>
  <c r="Q48"/>
  <c r="H48"/>
  <c r="J48" s="1"/>
  <c r="AO47"/>
  <c r="AH47"/>
  <c r="AI47" s="1"/>
  <c r="AK47" s="1"/>
  <c r="AC47"/>
  <c r="AB47"/>
  <c r="W47"/>
  <c r="Y47" s="1"/>
  <c r="S47"/>
  <c r="R47"/>
  <c r="Q47"/>
  <c r="H47"/>
  <c r="J47" s="1"/>
  <c r="AD47" s="1"/>
  <c r="AO46"/>
  <c r="AI46"/>
  <c r="AK46" s="1"/>
  <c r="AH46"/>
  <c r="AB46"/>
  <c r="AC46" s="1"/>
  <c r="Y46"/>
  <c r="W46"/>
  <c r="R46"/>
  <c r="Q46"/>
  <c r="J46"/>
  <c r="H46"/>
  <c r="AO45"/>
  <c r="AK45"/>
  <c r="AI45"/>
  <c r="AH45"/>
  <c r="AE45"/>
  <c r="AC45"/>
  <c r="AB45"/>
  <c r="Y45"/>
  <c r="W45"/>
  <c r="R45"/>
  <c r="Q45"/>
  <c r="J45"/>
  <c r="H45"/>
  <c r="AO44"/>
  <c r="AK44"/>
  <c r="AI44"/>
  <c r="AH44"/>
  <c r="AC44"/>
  <c r="AB44"/>
  <c r="Y44"/>
  <c r="W44"/>
  <c r="S44"/>
  <c r="R44"/>
  <c r="Q44"/>
  <c r="H44"/>
  <c r="J44" s="1"/>
  <c r="AO43"/>
  <c r="AH43"/>
  <c r="AI43" s="1"/>
  <c r="AK43" s="1"/>
  <c r="AC43"/>
  <c r="AB43"/>
  <c r="Y43"/>
  <c r="W43"/>
  <c r="R43"/>
  <c r="Q43"/>
  <c r="J43"/>
  <c r="H43"/>
  <c r="AO42"/>
  <c r="AI42"/>
  <c r="AK42" s="1"/>
  <c r="AH42"/>
  <c r="AE42"/>
  <c r="AB42"/>
  <c r="AC42" s="1"/>
  <c r="Y42"/>
  <c r="X42"/>
  <c r="AF42" s="1"/>
  <c r="W42"/>
  <c r="S42"/>
  <c r="R42"/>
  <c r="Q42"/>
  <c r="H42"/>
  <c r="J42" s="1"/>
  <c r="AO41"/>
  <c r="AH41"/>
  <c r="AI41" s="1"/>
  <c r="AK41" s="1"/>
  <c r="Z41"/>
  <c r="AB41" s="1"/>
  <c r="AC41" s="1"/>
  <c r="W41"/>
  <c r="Y41" s="1"/>
  <c r="R41"/>
  <c r="S41" s="1"/>
  <c r="Q41"/>
  <c r="H41"/>
  <c r="J41" s="1"/>
  <c r="AO40"/>
  <c r="AH40"/>
  <c r="AI40" s="1"/>
  <c r="AK40" s="1"/>
  <c r="AE40"/>
  <c r="AC40"/>
  <c r="AB40"/>
  <c r="Y40"/>
  <c r="W40"/>
  <c r="R40"/>
  <c r="Q40"/>
  <c r="J40"/>
  <c r="H40"/>
  <c r="AO39"/>
  <c r="AI39"/>
  <c r="AK39" s="1"/>
  <c r="AH39"/>
  <c r="AC39"/>
  <c r="AB39"/>
  <c r="Y39"/>
  <c r="W39"/>
  <c r="R39"/>
  <c r="Q39"/>
  <c r="S39" s="1"/>
  <c r="H39"/>
  <c r="J39" s="1"/>
  <c r="AO38"/>
  <c r="AH38"/>
  <c r="AI38" s="1"/>
  <c r="AK38" s="1"/>
  <c r="AC38"/>
  <c r="AB38"/>
  <c r="Y38"/>
  <c r="W38"/>
  <c r="R38"/>
  <c r="Q38"/>
  <c r="J38"/>
  <c r="H38"/>
  <c r="AO37"/>
  <c r="AK37"/>
  <c r="AI37"/>
  <c r="AH37"/>
  <c r="AE37"/>
  <c r="AC37"/>
  <c r="AB37"/>
  <c r="W37"/>
  <c r="Y37" s="1"/>
  <c r="S37"/>
  <c r="R37"/>
  <c r="Q37"/>
  <c r="J37"/>
  <c r="AD37" s="1"/>
  <c r="H37"/>
  <c r="AO36"/>
  <c r="AH36"/>
  <c r="AI36" s="1"/>
  <c r="AK36" s="1"/>
  <c r="AE36"/>
  <c r="AC36"/>
  <c r="AB36"/>
  <c r="Y36"/>
  <c r="W36"/>
  <c r="R36"/>
  <c r="Q36"/>
  <c r="S36" s="1"/>
  <c r="H36"/>
  <c r="J36" s="1"/>
  <c r="AO35"/>
  <c r="AH35"/>
  <c r="AI35" s="1"/>
  <c r="AK35" s="1"/>
  <c r="AC35"/>
  <c r="AB35"/>
  <c r="Y35"/>
  <c r="W35"/>
  <c r="R35"/>
  <c r="Q35"/>
  <c r="J35"/>
  <c r="H35"/>
  <c r="AO34"/>
  <c r="AK34"/>
  <c r="AI34"/>
  <c r="AH34"/>
  <c r="AC34"/>
  <c r="AB34"/>
  <c r="Y34"/>
  <c r="W34"/>
  <c r="S34"/>
  <c r="R34"/>
  <c r="Q34"/>
  <c r="H34"/>
  <c r="J34" s="1"/>
  <c r="AO33"/>
  <c r="AH33"/>
  <c r="AI33" s="1"/>
  <c r="AK33" s="1"/>
  <c r="AE33"/>
  <c r="Z33"/>
  <c r="AB33" s="1"/>
  <c r="AC33" s="1"/>
  <c r="Y33"/>
  <c r="W33"/>
  <c r="R33"/>
  <c r="S33" s="1"/>
  <c r="Q33"/>
  <c r="H33"/>
  <c r="J33" s="1"/>
  <c r="AO32"/>
  <c r="AK32"/>
  <c r="AI32"/>
  <c r="AC32"/>
  <c r="AB32"/>
  <c r="W32"/>
  <c r="Y32" s="1"/>
  <c r="S32"/>
  <c r="R32"/>
  <c r="Q32"/>
  <c r="J32"/>
  <c r="AD32" s="1"/>
  <c r="H32"/>
  <c r="AO31"/>
  <c r="AH31"/>
  <c r="AI31" s="1"/>
  <c r="AK31" s="1"/>
  <c r="AB31"/>
  <c r="AC31" s="1"/>
  <c r="Y31"/>
  <c r="W31"/>
  <c r="R31"/>
  <c r="S31" s="1"/>
  <c r="Q31"/>
  <c r="J31"/>
  <c r="H31"/>
  <c r="AO30"/>
  <c r="AK30"/>
  <c r="AI30"/>
  <c r="AH30"/>
  <c r="AC30"/>
  <c r="AB30"/>
  <c r="W30"/>
  <c r="Y30" s="1"/>
  <c r="S30"/>
  <c r="R30"/>
  <c r="Q30"/>
  <c r="H30"/>
  <c r="J30" s="1"/>
  <c r="AD30" s="1"/>
  <c r="AO29"/>
  <c r="AI29"/>
  <c r="AK29" s="1"/>
  <c r="AH29"/>
  <c r="AE29"/>
  <c r="AB29"/>
  <c r="AC29" s="1"/>
  <c r="Z29"/>
  <c r="W29"/>
  <c r="Y29" s="1"/>
  <c r="S29"/>
  <c r="R29"/>
  <c r="Q29"/>
  <c r="H29"/>
  <c r="J29" s="1"/>
  <c r="AO28"/>
  <c r="AI28"/>
  <c r="AK28" s="1"/>
  <c r="AH28"/>
  <c r="AE28"/>
  <c r="AC28"/>
  <c r="AB28"/>
  <c r="X28"/>
  <c r="AF28" s="1"/>
  <c r="W28"/>
  <c r="Y28" s="1"/>
  <c r="R28"/>
  <c r="S28" s="1"/>
  <c r="Q28"/>
  <c r="J28"/>
  <c r="H28"/>
  <c r="AO27"/>
  <c r="AI27"/>
  <c r="AK27" s="1"/>
  <c r="AH27"/>
  <c r="AF27"/>
  <c r="AE27"/>
  <c r="AB27"/>
  <c r="AC27" s="1"/>
  <c r="Y27"/>
  <c r="W27"/>
  <c r="R27"/>
  <c r="Q27"/>
  <c r="H27"/>
  <c r="AO26"/>
  <c r="AI26"/>
  <c r="AK26" s="1"/>
  <c r="AH26"/>
  <c r="AE26"/>
  <c r="AB26"/>
  <c r="AC26" s="1"/>
  <c r="Y26"/>
  <c r="X26"/>
  <c r="AF26" s="1"/>
  <c r="W26"/>
  <c r="S26"/>
  <c r="R26"/>
  <c r="Q26"/>
  <c r="H26"/>
  <c r="J26" s="1"/>
  <c r="AO25"/>
  <c r="AH25"/>
  <c r="AI25" s="1"/>
  <c r="AK25" s="1"/>
  <c r="AC25"/>
  <c r="AB25"/>
  <c r="Y25"/>
  <c r="W25"/>
  <c r="R25"/>
  <c r="Q25"/>
  <c r="J25"/>
  <c r="H25"/>
  <c r="AO24"/>
  <c r="AI24"/>
  <c r="AK24" s="1"/>
  <c r="AH24"/>
  <c r="AC24"/>
  <c r="AB24"/>
  <c r="Y24"/>
  <c r="W24"/>
  <c r="R24"/>
  <c r="Q24"/>
  <c r="S24" s="1"/>
  <c r="H24"/>
  <c r="J24" s="1"/>
  <c r="E24"/>
  <c r="AO23"/>
  <c r="AI23"/>
  <c r="AK23" s="1"/>
  <c r="AH23"/>
  <c r="AE23"/>
  <c r="AB23"/>
  <c r="AC23" s="1"/>
  <c r="Y23"/>
  <c r="W23"/>
  <c r="R23"/>
  <c r="S23" s="1"/>
  <c r="Q23"/>
  <c r="H23"/>
  <c r="J23" s="1"/>
  <c r="AO22"/>
  <c r="AH22"/>
  <c r="AI22" s="1"/>
  <c r="AK22" s="1"/>
  <c r="AC22"/>
  <c r="AB22"/>
  <c r="W22"/>
  <c r="Y22" s="1"/>
  <c r="S22"/>
  <c r="Q22"/>
  <c r="H22"/>
  <c r="J22" s="1"/>
  <c r="AD22" s="1"/>
  <c r="AH21"/>
  <c r="AI21" s="1"/>
  <c r="AK21" s="1"/>
  <c r="AC21"/>
  <c r="AB21"/>
  <c r="Y21"/>
  <c r="W21"/>
  <c r="R21"/>
  <c r="Q21"/>
  <c r="J21"/>
  <c r="H21"/>
  <c r="AO20"/>
  <c r="AI20"/>
  <c r="AK20" s="1"/>
  <c r="AH20"/>
  <c r="AC20"/>
  <c r="AB20"/>
  <c r="Y20"/>
  <c r="W20"/>
  <c r="R20"/>
  <c r="Q20"/>
  <c r="S20" s="1"/>
  <c r="H20"/>
  <c r="J20" s="1"/>
  <c r="AO19"/>
  <c r="AH19"/>
  <c r="AI19" s="1"/>
  <c r="AK19" s="1"/>
  <c r="AE19"/>
  <c r="AC19"/>
  <c r="AB19"/>
  <c r="W19"/>
  <c r="Y19" s="1"/>
  <c r="R19"/>
  <c r="Q19"/>
  <c r="H19"/>
  <c r="J19" s="1"/>
  <c r="AO18"/>
  <c r="AH18"/>
  <c r="AI18" s="1"/>
  <c r="AK18" s="1"/>
  <c r="AE18"/>
  <c r="AB18"/>
  <c r="AC18" s="1"/>
  <c r="W18"/>
  <c r="Y18" s="1"/>
  <c r="R18"/>
  <c r="Q18"/>
  <c r="S18" s="1"/>
  <c r="AD18" s="1"/>
  <c r="H18"/>
  <c r="AO17"/>
  <c r="AI17"/>
  <c r="AK17" s="1"/>
  <c r="AE17"/>
  <c r="AC17"/>
  <c r="AB17"/>
  <c r="W17"/>
  <c r="S17"/>
  <c r="R17"/>
  <c r="Q17"/>
  <c r="J17"/>
  <c r="H17"/>
  <c r="AO16"/>
  <c r="AH16"/>
  <c r="AI16" s="1"/>
  <c r="AK16" s="1"/>
  <c r="AE16"/>
  <c r="AC16"/>
  <c r="AB16"/>
  <c r="Y16"/>
  <c r="X16"/>
  <c r="AF16" s="1"/>
  <c r="W16"/>
  <c r="R16"/>
  <c r="Q16"/>
  <c r="J16"/>
  <c r="H16"/>
  <c r="AN15"/>
  <c r="AN58" s="1"/>
  <c r="AH15"/>
  <c r="AI15" s="1"/>
  <c r="AK15" s="1"/>
  <c r="AE15"/>
  <c r="AB15"/>
  <c r="AC15" s="1"/>
  <c r="X15"/>
  <c r="AF15" s="1"/>
  <c r="W15"/>
  <c r="Y15" s="1"/>
  <c r="R15"/>
  <c r="Q15"/>
  <c r="S15" s="1"/>
  <c r="J15"/>
  <c r="H15"/>
  <c r="AO14"/>
  <c r="AK14"/>
  <c r="AI14"/>
  <c r="AH14"/>
  <c r="AE14"/>
  <c r="AB14"/>
  <c r="AC14" s="1"/>
  <c r="Z14"/>
  <c r="X14"/>
  <c r="AF14" s="1"/>
  <c r="W14"/>
  <c r="Y14" s="1"/>
  <c r="S14"/>
  <c r="R14"/>
  <c r="Q14"/>
  <c r="J14"/>
  <c r="I14"/>
  <c r="I58" s="1"/>
  <c r="H14"/>
  <c r="AO13"/>
  <c r="AK13"/>
  <c r="AI13"/>
  <c r="AH13"/>
  <c r="AB13"/>
  <c r="AC13" s="1"/>
  <c r="Y13"/>
  <c r="W13"/>
  <c r="R13"/>
  <c r="S13" s="1"/>
  <c r="Q13"/>
  <c r="H13"/>
  <c r="J13" s="1"/>
  <c r="AO12"/>
  <c r="AH12"/>
  <c r="AI12" s="1"/>
  <c r="AK12" s="1"/>
  <c r="AE12"/>
  <c r="AC12"/>
  <c r="AB12"/>
  <c r="W12"/>
  <c r="Y12" s="1"/>
  <c r="R12"/>
  <c r="Q12"/>
  <c r="H12"/>
  <c r="J12" s="1"/>
  <c r="AO11"/>
  <c r="AH11"/>
  <c r="AI11" s="1"/>
  <c r="AK11" s="1"/>
  <c r="AC11"/>
  <c r="AB11"/>
  <c r="W11"/>
  <c r="Y11" s="1"/>
  <c r="S11"/>
  <c r="R11"/>
  <c r="Q11"/>
  <c r="H11"/>
  <c r="J11" s="1"/>
  <c r="AO10"/>
  <c r="AH10"/>
  <c r="AI10" s="1"/>
  <c r="AK10" s="1"/>
  <c r="Z10"/>
  <c r="AB10" s="1"/>
  <c r="AC10" s="1"/>
  <c r="Y10"/>
  <c r="W10"/>
  <c r="R10"/>
  <c r="Q10"/>
  <c r="J10"/>
  <c r="H10"/>
  <c r="AO9"/>
  <c r="AI9"/>
  <c r="AK9" s="1"/>
  <c r="AH9"/>
  <c r="Z9"/>
  <c r="AB9" s="1"/>
  <c r="AC9" s="1"/>
  <c r="W9"/>
  <c r="Y9" s="1"/>
  <c r="R9"/>
  <c r="Q9"/>
  <c r="J9"/>
  <c r="H9"/>
  <c r="AO8"/>
  <c r="AI8"/>
  <c r="AK8" s="1"/>
  <c r="AH8"/>
  <c r="Z8"/>
  <c r="AB8" s="1"/>
  <c r="AC8" s="1"/>
  <c r="W8"/>
  <c r="Y8" s="1"/>
  <c r="R8"/>
  <c r="Q8"/>
  <c r="S8" s="1"/>
  <c r="J8"/>
  <c r="H8"/>
  <c r="AO7"/>
  <c r="AH7"/>
  <c r="AI7" s="1"/>
  <c r="AK7" s="1"/>
  <c r="AB7"/>
  <c r="AC7" s="1"/>
  <c r="Y7"/>
  <c r="W7"/>
  <c r="R7"/>
  <c r="S7" s="1"/>
  <c r="Q7"/>
  <c r="J7"/>
  <c r="H7"/>
  <c r="AO6"/>
  <c r="AK6"/>
  <c r="AI6"/>
  <c r="AH6"/>
  <c r="AC6"/>
  <c r="AB6"/>
  <c r="W6"/>
  <c r="Y6" s="1"/>
  <c r="R6"/>
  <c r="S6" s="1"/>
  <c r="Q6"/>
  <c r="H6"/>
  <c r="J6" s="1"/>
  <c r="AO5"/>
  <c r="AI5"/>
  <c r="AK5" s="1"/>
  <c r="AH5"/>
  <c r="AE5"/>
  <c r="AB5"/>
  <c r="AC5" s="1"/>
  <c r="Y5"/>
  <c r="X5"/>
  <c r="W5"/>
  <c r="R5"/>
  <c r="Q5"/>
  <c r="I5"/>
  <c r="H5"/>
  <c r="AO4"/>
  <c r="AC4"/>
  <c r="AB4"/>
  <c r="U4"/>
  <c r="U58" s="1"/>
  <c r="T4"/>
  <c r="Q4"/>
  <c r="O4"/>
  <c r="O58" s="1"/>
  <c r="N4"/>
  <c r="M4"/>
  <c r="L4"/>
  <c r="K4"/>
  <c r="F4"/>
  <c r="F58" s="1"/>
  <c r="D4"/>
  <c r="R4" s="1"/>
  <c r="S4" s="1"/>
  <c r="B4"/>
  <c r="A4"/>
  <c r="AO3"/>
  <c r="AI3"/>
  <c r="AE3"/>
  <c r="AC3"/>
  <c r="AB3"/>
  <c r="X3"/>
  <c r="W3"/>
  <c r="Y3" s="1"/>
  <c r="R3"/>
  <c r="Q3"/>
  <c r="J3"/>
  <c r="H3"/>
  <c r="S81" i="6" l="1"/>
  <c r="Q100"/>
  <c r="S98"/>
  <c r="Y67"/>
  <c r="H67"/>
  <c r="H100" s="1"/>
  <c r="W67"/>
  <c r="AH67"/>
  <c r="AH68" s="1"/>
  <c r="AI13"/>
  <c r="F107"/>
  <c r="H107" s="1"/>
  <c r="X67"/>
  <c r="S13"/>
  <c r="J98"/>
  <c r="AD84"/>
  <c r="AD98" s="1"/>
  <c r="J81"/>
  <c r="AD71"/>
  <c r="AE78"/>
  <c r="AE73"/>
  <c r="AE74"/>
  <c r="AF67"/>
  <c r="AG35" s="1"/>
  <c r="AD35" s="1"/>
  <c r="R100"/>
  <c r="F108" s="1"/>
  <c r="F110" s="1"/>
  <c r="H4" i="1"/>
  <c r="J4" s="1"/>
  <c r="AD4" s="1"/>
  <c r="W4"/>
  <c r="Y4" s="1"/>
  <c r="AH4"/>
  <c r="S59" i="5"/>
  <c r="AH6" i="4"/>
  <c r="AI6" s="1"/>
  <c r="Q6"/>
  <c r="S6" s="1"/>
  <c r="AF58"/>
  <c r="AF59"/>
  <c r="O60"/>
  <c r="AD24" i="5"/>
  <c r="I60"/>
  <c r="I93" s="1"/>
  <c r="F99" s="1"/>
  <c r="S5"/>
  <c r="S6"/>
  <c r="S10"/>
  <c r="S18"/>
  <c r="S30"/>
  <c r="S32"/>
  <c r="S71"/>
  <c r="AD71" s="1"/>
  <c r="AE71" s="1"/>
  <c r="Q91"/>
  <c r="S79"/>
  <c r="AD9"/>
  <c r="AD12"/>
  <c r="S22"/>
  <c r="S46"/>
  <c r="AD46" s="1"/>
  <c r="AD48"/>
  <c r="AD57"/>
  <c r="J58"/>
  <c r="AD68"/>
  <c r="AE68" s="1"/>
  <c r="S69"/>
  <c r="AB60"/>
  <c r="Q6"/>
  <c r="AF7"/>
  <c r="S14"/>
  <c r="X28"/>
  <c r="AF28" s="1"/>
  <c r="S49"/>
  <c r="S66"/>
  <c r="AD66" s="1"/>
  <c r="AE66" s="1"/>
  <c r="S70"/>
  <c r="AD70" s="1"/>
  <c r="AD72"/>
  <c r="AD29" i="1"/>
  <c r="AD11"/>
  <c r="AD51"/>
  <c r="AD8"/>
  <c r="AD36"/>
  <c r="AD39"/>
  <c r="H89"/>
  <c r="AD80"/>
  <c r="AD87"/>
  <c r="S12"/>
  <c r="AD49"/>
  <c r="S52"/>
  <c r="AD52" s="1"/>
  <c r="J5"/>
  <c r="S9"/>
  <c r="AO15"/>
  <c r="S16"/>
  <c r="X19"/>
  <c r="AF19" s="1"/>
  <c r="S21"/>
  <c r="S25"/>
  <c r="S27"/>
  <c r="AD27" s="1"/>
  <c r="AD34"/>
  <c r="S40"/>
  <c r="S43"/>
  <c r="AD44"/>
  <c r="S46"/>
  <c r="AD46" s="1"/>
  <c r="S55"/>
  <c r="J56"/>
  <c r="J57"/>
  <c r="S80"/>
  <c r="S84"/>
  <c r="S86"/>
  <c r="S88"/>
  <c r="S89" s="1"/>
  <c r="AH58"/>
  <c r="AH59" s="1"/>
  <c r="AD20"/>
  <c r="AD24"/>
  <c r="S35"/>
  <c r="S38"/>
  <c r="AD41"/>
  <c r="S45"/>
  <c r="S64"/>
  <c r="AD64" s="1"/>
  <c r="AE64" s="1"/>
  <c r="AD81"/>
  <c r="AD83"/>
  <c r="AD85"/>
  <c r="D89"/>
  <c r="AD6"/>
  <c r="S19"/>
  <c r="AD33"/>
  <c r="AD53"/>
  <c r="AD66"/>
  <c r="AE66" s="1"/>
  <c r="AD71"/>
  <c r="Q89"/>
  <c r="AD79"/>
  <c r="Q60" i="5"/>
  <c r="AD23"/>
  <c r="W60"/>
  <c r="AD10"/>
  <c r="S41"/>
  <c r="AD50"/>
  <c r="S53"/>
  <c r="AD53" s="1"/>
  <c r="AD54"/>
  <c r="S58"/>
  <c r="Q74"/>
  <c r="AD78"/>
  <c r="S90"/>
  <c r="S13"/>
  <c r="S15"/>
  <c r="AD15" s="1"/>
  <c r="J16"/>
  <c r="Y21"/>
  <c r="AD29"/>
  <c r="AD31"/>
  <c r="AD33"/>
  <c r="AD34"/>
  <c r="S36"/>
  <c r="AD36" s="1"/>
  <c r="AD37"/>
  <c r="AD45"/>
  <c r="H74"/>
  <c r="J91"/>
  <c r="S26"/>
  <c r="AD26" s="1"/>
  <c r="AD27"/>
  <c r="AD42"/>
  <c r="AD64"/>
  <c r="AE64" s="1"/>
  <c r="AD79"/>
  <c r="S86"/>
  <c r="S88"/>
  <c r="AC5"/>
  <c r="AC60" s="1"/>
  <c r="R97" s="1"/>
  <c r="E6"/>
  <c r="S8"/>
  <c r="S16"/>
  <c r="S19"/>
  <c r="S20"/>
  <c r="AD20" s="1"/>
  <c r="S25"/>
  <c r="S28"/>
  <c r="S35"/>
  <c r="AD35" s="1"/>
  <c r="AD40"/>
  <c r="S44"/>
  <c r="S51"/>
  <c r="AD51" s="1"/>
  <c r="AD52"/>
  <c r="S55"/>
  <c r="AD55" s="1"/>
  <c r="D60"/>
  <c r="AD67"/>
  <c r="S73"/>
  <c r="AD73" s="1"/>
  <c r="AE73" s="1"/>
  <c r="H91"/>
  <c r="S78"/>
  <c r="S84"/>
  <c r="AD84" s="1"/>
  <c r="AD85"/>
  <c r="AD87"/>
  <c r="AD89"/>
  <c r="D91"/>
  <c r="AD47"/>
  <c r="AD43"/>
  <c r="AD39"/>
  <c r="AD69"/>
  <c r="AD13"/>
  <c r="AD25"/>
  <c r="AD32"/>
  <c r="AD38"/>
  <c r="AD86"/>
  <c r="AD88"/>
  <c r="AD90"/>
  <c r="AE67"/>
  <c r="AE72"/>
  <c r="AD8"/>
  <c r="R60"/>
  <c r="AD11"/>
  <c r="AD22"/>
  <c r="AD41"/>
  <c r="AD49"/>
  <c r="AD56"/>
  <c r="S91"/>
  <c r="T91" s="1"/>
  <c r="AD82"/>
  <c r="Z60"/>
  <c r="U60"/>
  <c r="J74"/>
  <c r="R74"/>
  <c r="Y5"/>
  <c r="AH6"/>
  <c r="AH60" s="1"/>
  <c r="AH61" s="1"/>
  <c r="Y18"/>
  <c r="Y30"/>
  <c r="S65"/>
  <c r="AD77"/>
  <c r="R91"/>
  <c r="X5"/>
  <c r="H6"/>
  <c r="J6" s="1"/>
  <c r="Q60" i="4"/>
  <c r="S9"/>
  <c r="S27"/>
  <c r="AM60"/>
  <c r="I18"/>
  <c r="J18" s="1"/>
  <c r="S13"/>
  <c r="S41"/>
  <c r="S77"/>
  <c r="S12"/>
  <c r="X14"/>
  <c r="X28"/>
  <c r="S29"/>
  <c r="S58"/>
  <c r="S81"/>
  <c r="J86"/>
  <c r="AD86" s="1"/>
  <c r="I6"/>
  <c r="J16"/>
  <c r="J59"/>
  <c r="J5"/>
  <c r="AD20"/>
  <c r="J28"/>
  <c r="S87"/>
  <c r="AD87" s="1"/>
  <c r="I22"/>
  <c r="S8"/>
  <c r="S28"/>
  <c r="S35"/>
  <c r="S83"/>
  <c r="AD83" s="1"/>
  <c r="S89"/>
  <c r="J79"/>
  <c r="S88"/>
  <c r="W60"/>
  <c r="Q74"/>
  <c r="Q91"/>
  <c r="J88"/>
  <c r="AD88" s="1"/>
  <c r="AD90"/>
  <c r="D91"/>
  <c r="I23"/>
  <c r="J23" s="1"/>
  <c r="AD23" s="1"/>
  <c r="J30"/>
  <c r="I34"/>
  <c r="J34" s="1"/>
  <c r="AD34" s="1"/>
  <c r="I57"/>
  <c r="J57" s="1"/>
  <c r="AD57" s="1"/>
  <c r="S49"/>
  <c r="S57"/>
  <c r="S73"/>
  <c r="S65"/>
  <c r="S80"/>
  <c r="AD80" s="1"/>
  <c r="H74"/>
  <c r="J9"/>
  <c r="AD9" s="1"/>
  <c r="I11"/>
  <c r="J11" s="1"/>
  <c r="I19"/>
  <c r="J19" s="1"/>
  <c r="I25"/>
  <c r="I35"/>
  <c r="J35" s="1"/>
  <c r="AD35" s="1"/>
  <c r="I44"/>
  <c r="J44" s="1"/>
  <c r="J81"/>
  <c r="AD81" s="1"/>
  <c r="S26"/>
  <c r="S31"/>
  <c r="AD31" s="1"/>
  <c r="S36"/>
  <c r="S43"/>
  <c r="S50"/>
  <c r="S70"/>
  <c r="S66"/>
  <c r="AD66" s="1"/>
  <c r="J25"/>
  <c r="AO60"/>
  <c r="H91"/>
  <c r="I13"/>
  <c r="I73" s="1"/>
  <c r="J73" s="1"/>
  <c r="AD73" s="1"/>
  <c r="AD24"/>
  <c r="S7"/>
  <c r="Y18"/>
  <c r="X21"/>
  <c r="AF21" s="1"/>
  <c r="J45"/>
  <c r="AD51"/>
  <c r="I12"/>
  <c r="S18"/>
  <c r="S25"/>
  <c r="S32"/>
  <c r="S44"/>
  <c r="S55"/>
  <c r="S79"/>
  <c r="AD79" s="1"/>
  <c r="AD78"/>
  <c r="AD82"/>
  <c r="S84"/>
  <c r="S85"/>
  <c r="S14"/>
  <c r="S23"/>
  <c r="S47"/>
  <c r="S71"/>
  <c r="AD25"/>
  <c r="S21"/>
  <c r="S52"/>
  <c r="R74"/>
  <c r="AD68"/>
  <c r="S56"/>
  <c r="S45"/>
  <c r="S42"/>
  <c r="S40"/>
  <c r="S37"/>
  <c r="S17"/>
  <c r="S11"/>
  <c r="AD8"/>
  <c r="J89"/>
  <c r="J85"/>
  <c r="I91"/>
  <c r="J69"/>
  <c r="AD69" s="1"/>
  <c r="J67"/>
  <c r="J56"/>
  <c r="J54"/>
  <c r="AD54" s="1"/>
  <c r="J53"/>
  <c r="AD53" s="1"/>
  <c r="J52"/>
  <c r="AD52" s="1"/>
  <c r="J41"/>
  <c r="AD41" s="1"/>
  <c r="J40"/>
  <c r="J26"/>
  <c r="AD26" s="1"/>
  <c r="J22"/>
  <c r="AD22" s="1"/>
  <c r="J21"/>
  <c r="J7"/>
  <c r="R60"/>
  <c r="AC60"/>
  <c r="AD29"/>
  <c r="AD33"/>
  <c r="AD39"/>
  <c r="AD27"/>
  <c r="Y19"/>
  <c r="D60"/>
  <c r="Z60"/>
  <c r="S67"/>
  <c r="AD77"/>
  <c r="R91"/>
  <c r="S5"/>
  <c r="E6"/>
  <c r="U60"/>
  <c r="S64"/>
  <c r="J65"/>
  <c r="J84"/>
  <c r="AB60"/>
  <c r="X5"/>
  <c r="H6"/>
  <c r="J6" s="1"/>
  <c r="AD54" i="1"/>
  <c r="F8" i="2"/>
  <c r="E8"/>
  <c r="AD9" i="1"/>
  <c r="J62"/>
  <c r="H72"/>
  <c r="I91"/>
  <c r="AI58"/>
  <c r="AI59" s="1"/>
  <c r="Q58"/>
  <c r="Q91" s="1"/>
  <c r="W58"/>
  <c r="AD21"/>
  <c r="AD38"/>
  <c r="AD48"/>
  <c r="AD55"/>
  <c r="AB58"/>
  <c r="J89"/>
  <c r="AF3"/>
  <c r="AD7"/>
  <c r="AD31"/>
  <c r="S72"/>
  <c r="AD63"/>
  <c r="AD82"/>
  <c r="R89"/>
  <c r="S3"/>
  <c r="R58"/>
  <c r="E4"/>
  <c r="D58"/>
  <c r="X17"/>
  <c r="AF17" s="1"/>
  <c r="Y17"/>
  <c r="Y58" s="1"/>
  <c r="AF5"/>
  <c r="AD25"/>
  <c r="AD35"/>
  <c r="AD45"/>
  <c r="Q72"/>
  <c r="AD68"/>
  <c r="AE68" s="1"/>
  <c r="AC58"/>
  <c r="AK3"/>
  <c r="S5"/>
  <c r="Z58"/>
  <c r="S10"/>
  <c r="AD10" s="1"/>
  <c r="X12"/>
  <c r="AF12" s="1"/>
  <c r="AD13"/>
  <c r="AD23"/>
  <c r="AD40"/>
  <c r="AD43"/>
  <c r="AD50"/>
  <c r="X58"/>
  <c r="AO58"/>
  <c r="AD67"/>
  <c r="AD70"/>
  <c r="AE70" s="1"/>
  <c r="R72"/>
  <c r="AD78"/>
  <c r="AD84"/>
  <c r="AD86"/>
  <c r="AD88"/>
  <c r="AI4"/>
  <c r="AK4" s="1"/>
  <c r="Y69" i="6" l="1"/>
  <c r="T98"/>
  <c r="J67"/>
  <c r="T81"/>
  <c r="AD81"/>
  <c r="AK13"/>
  <c r="AI67"/>
  <c r="AI68" s="1"/>
  <c r="AE71"/>
  <c r="AE81" s="1"/>
  <c r="AD13"/>
  <c r="S67"/>
  <c r="AG66"/>
  <c r="AD66" s="1"/>
  <c r="AG65"/>
  <c r="AD65" s="1"/>
  <c r="AG25"/>
  <c r="AD25" s="1"/>
  <c r="AG26"/>
  <c r="AD26" s="1"/>
  <c r="AG14"/>
  <c r="AD14" s="1"/>
  <c r="AG23"/>
  <c r="AD23" s="1"/>
  <c r="AG24"/>
  <c r="AD24" s="1"/>
  <c r="AG37"/>
  <c r="AD37" s="1"/>
  <c r="AG21"/>
  <c r="AD21" s="1"/>
  <c r="AG28"/>
  <c r="AD28" s="1"/>
  <c r="AG12"/>
  <c r="AG51"/>
  <c r="AD51" s="1"/>
  <c r="H58" i="1"/>
  <c r="H91" s="1"/>
  <c r="AH60" i="4"/>
  <c r="AH61" s="1"/>
  <c r="H60"/>
  <c r="R93" i="5"/>
  <c r="AD6"/>
  <c r="Q93"/>
  <c r="S60"/>
  <c r="AE63" i="1"/>
  <c r="AE71"/>
  <c r="AE67"/>
  <c r="F97"/>
  <c r="E5" i="2"/>
  <c r="R91" i="1"/>
  <c r="AD89"/>
  <c r="D91"/>
  <c r="T89"/>
  <c r="AD91" i="5"/>
  <c r="D93"/>
  <c r="S74"/>
  <c r="AD74" s="1"/>
  <c r="AF5"/>
  <c r="X60"/>
  <c r="F100"/>
  <c r="AE70"/>
  <c r="T74"/>
  <c r="AE69"/>
  <c r="H60"/>
  <c r="AI6"/>
  <c r="Y60"/>
  <c r="R96" s="1"/>
  <c r="F102" s="1"/>
  <c r="AD65"/>
  <c r="I32" i="4"/>
  <c r="J32" s="1"/>
  <c r="AD32" s="1"/>
  <c r="I42"/>
  <c r="J42" s="1"/>
  <c r="I55"/>
  <c r="J55" s="1"/>
  <c r="AD55" s="1"/>
  <c r="AD65"/>
  <c r="AD11"/>
  <c r="Q93"/>
  <c r="AD45"/>
  <c r="I43"/>
  <c r="J43" s="1"/>
  <c r="AD43" s="1"/>
  <c r="I10"/>
  <c r="I15" s="1"/>
  <c r="J15" s="1"/>
  <c r="AD15" s="1"/>
  <c r="AD89"/>
  <c r="I36"/>
  <c r="J36" s="1"/>
  <c r="AD36" s="1"/>
  <c r="I14"/>
  <c r="D93"/>
  <c r="H93"/>
  <c r="AD85"/>
  <c r="J13"/>
  <c r="AD13" s="1"/>
  <c r="S91"/>
  <c r="I49"/>
  <c r="J49" s="1"/>
  <c r="AD49" s="1"/>
  <c r="I48"/>
  <c r="J48" s="1"/>
  <c r="AD48" s="1"/>
  <c r="I38"/>
  <c r="J38" s="1"/>
  <c r="AD38" s="1"/>
  <c r="J12"/>
  <c r="AD12" s="1"/>
  <c r="AD42"/>
  <c r="AD84"/>
  <c r="AD6"/>
  <c r="AD67"/>
  <c r="S74"/>
  <c r="AD56"/>
  <c r="AD40"/>
  <c r="S60"/>
  <c r="X60"/>
  <c r="AD64"/>
  <c r="R93"/>
  <c r="F102" s="1"/>
  <c r="F108" s="1"/>
  <c r="F111" s="1"/>
  <c r="Y60"/>
  <c r="Y62" s="1"/>
  <c r="J91"/>
  <c r="AI60"/>
  <c r="AI61" s="1"/>
  <c r="AK6"/>
  <c r="AF58" i="1"/>
  <c r="S58"/>
  <c r="Y60"/>
  <c r="AD62"/>
  <c r="AE62" s="1"/>
  <c r="J72"/>
  <c r="T72" s="1"/>
  <c r="F98"/>
  <c r="H98" s="1"/>
  <c r="AP81" i="6" l="1"/>
  <c r="AF81"/>
  <c r="AC70"/>
  <c r="AG67"/>
  <c r="AD12"/>
  <c r="AD67" s="1"/>
  <c r="J58" i="1"/>
  <c r="F101" i="5"/>
  <c r="F103" s="1"/>
  <c r="F105" s="1"/>
  <c r="F110" s="1"/>
  <c r="F113" s="1"/>
  <c r="R95"/>
  <c r="R98" s="1"/>
  <c r="F99" i="1"/>
  <c r="F101" s="1"/>
  <c r="E6" i="2"/>
  <c r="E7" s="1"/>
  <c r="AE72" i="1"/>
  <c r="H100" i="5"/>
  <c r="AE65"/>
  <c r="AE74" s="1"/>
  <c r="AF74" s="1"/>
  <c r="AJ74"/>
  <c r="AC63"/>
  <c r="AI60"/>
  <c r="AI61" s="1"/>
  <c r="AF60"/>
  <c r="AG5" s="1"/>
  <c r="H93"/>
  <c r="J60"/>
  <c r="I46" i="4"/>
  <c r="J46" s="1"/>
  <c r="AD46" s="1"/>
  <c r="I71"/>
  <c r="J71" s="1"/>
  <c r="AD71" s="1"/>
  <c r="R94"/>
  <c r="T91"/>
  <c r="I37"/>
  <c r="J37" s="1"/>
  <c r="AD37" s="1"/>
  <c r="I70"/>
  <c r="J10"/>
  <c r="AD10" s="1"/>
  <c r="I47"/>
  <c r="J47" s="1"/>
  <c r="AD47" s="1"/>
  <c r="I72"/>
  <c r="J72" s="1"/>
  <c r="AD72" s="1"/>
  <c r="AD91"/>
  <c r="I50"/>
  <c r="J14"/>
  <c r="J70"/>
  <c r="AF60"/>
  <c r="AG15" i="1"/>
  <c r="AD15" s="1"/>
  <c r="AG57"/>
  <c r="AD57" s="1"/>
  <c r="AG16"/>
  <c r="AD16" s="1"/>
  <c r="AG28"/>
  <c r="AD28" s="1"/>
  <c r="AG26"/>
  <c r="AD26" s="1"/>
  <c r="AG19"/>
  <c r="AD19" s="1"/>
  <c r="AG56"/>
  <c r="AD56" s="1"/>
  <c r="AG14"/>
  <c r="AD14" s="1"/>
  <c r="AG42"/>
  <c r="AD42" s="1"/>
  <c r="AD72"/>
  <c r="AG17"/>
  <c r="AD17" s="1"/>
  <c r="AG3"/>
  <c r="AG5"/>
  <c r="AD5" s="1"/>
  <c r="AG12"/>
  <c r="AD12" s="1"/>
  <c r="AG80" i="6" l="1"/>
  <c r="AP80" s="1"/>
  <c r="AG76"/>
  <c r="AP76" s="1"/>
  <c r="AG72"/>
  <c r="AP72" s="1"/>
  <c r="AG79"/>
  <c r="AP79" s="1"/>
  <c r="AG75"/>
  <c r="AP75" s="1"/>
  <c r="AG71"/>
  <c r="AP71" s="1"/>
  <c r="AG78"/>
  <c r="AP78" s="1"/>
  <c r="AG74"/>
  <c r="AP74" s="1"/>
  <c r="AG77"/>
  <c r="AP77" s="1"/>
  <c r="AG73"/>
  <c r="AP73" s="1"/>
  <c r="F7" i="2"/>
  <c r="E10"/>
  <c r="F10" s="1"/>
  <c r="AF72" i="1"/>
  <c r="AP72"/>
  <c r="AC61"/>
  <c r="AD5" i="5"/>
  <c r="AG73"/>
  <c r="AJ73" s="1"/>
  <c r="AG69"/>
  <c r="AJ69" s="1"/>
  <c r="AG65"/>
  <c r="AJ65" s="1"/>
  <c r="AG67"/>
  <c r="AJ67" s="1"/>
  <c r="AG72"/>
  <c r="AJ72" s="1"/>
  <c r="AG68"/>
  <c r="AJ68" s="1"/>
  <c r="AG64"/>
  <c r="AJ64" s="1"/>
  <c r="AG71"/>
  <c r="AJ71" s="1"/>
  <c r="AG70"/>
  <c r="AJ70" s="1"/>
  <c r="AG66"/>
  <c r="AJ66" s="1"/>
  <c r="AG7"/>
  <c r="AD7" s="1"/>
  <c r="AG44"/>
  <c r="AD44" s="1"/>
  <c r="AG21"/>
  <c r="AD21" s="1"/>
  <c r="AG17"/>
  <c r="AD17" s="1"/>
  <c r="AG30"/>
  <c r="AD30" s="1"/>
  <c r="AG18"/>
  <c r="AD18" s="1"/>
  <c r="AG28"/>
  <c r="AD28" s="1"/>
  <c r="AG58"/>
  <c r="AD58" s="1"/>
  <c r="AG14"/>
  <c r="AD14" s="1"/>
  <c r="AG16"/>
  <c r="AD16" s="1"/>
  <c r="AG59"/>
  <c r="AD59" s="1"/>
  <c r="AG19"/>
  <c r="AD19" s="1"/>
  <c r="AG21" i="4"/>
  <c r="AD21" s="1"/>
  <c r="AG59"/>
  <c r="AD59" s="1"/>
  <c r="AG58"/>
  <c r="AG30"/>
  <c r="AD30" s="1"/>
  <c r="AG28"/>
  <c r="AD28" s="1"/>
  <c r="AG44"/>
  <c r="AD44" s="1"/>
  <c r="I74"/>
  <c r="AD70"/>
  <c r="J74"/>
  <c r="J50"/>
  <c r="AD50" s="1"/>
  <c r="I60"/>
  <c r="AG17"/>
  <c r="AD17" s="1"/>
  <c r="AG19"/>
  <c r="AD19" s="1"/>
  <c r="AG7"/>
  <c r="AD7" s="1"/>
  <c r="AG14"/>
  <c r="AD14" s="1"/>
  <c r="AG16"/>
  <c r="AD16" s="1"/>
  <c r="AG18"/>
  <c r="AD18" s="1"/>
  <c r="AD58"/>
  <c r="AG5"/>
  <c r="AG58" i="1"/>
  <c r="AD3"/>
  <c r="AD58" s="1"/>
  <c r="AG63" l="1"/>
  <c r="AP63" s="1"/>
  <c r="AG67"/>
  <c r="AP67" s="1"/>
  <c r="AG71"/>
  <c r="AP71" s="1"/>
  <c r="AG70"/>
  <c r="AP70" s="1"/>
  <c r="AG65"/>
  <c r="AP65" s="1"/>
  <c r="AG64"/>
  <c r="AP64" s="1"/>
  <c r="AG68"/>
  <c r="AP68" s="1"/>
  <c r="AG62"/>
  <c r="AP62" s="1"/>
  <c r="AG66"/>
  <c r="AP66" s="1"/>
  <c r="AG69"/>
  <c r="AP69" s="1"/>
  <c r="AD60" i="5"/>
  <c r="AG60"/>
  <c r="AD74" i="4"/>
  <c r="T74"/>
  <c r="I93"/>
  <c r="J60"/>
  <c r="AG60"/>
  <c r="AD5"/>
  <c r="AD60" s="1"/>
  <c r="F100" l="1"/>
  <c r="I94"/>
  <c r="AC63"/>
  <c r="AP74"/>
  <c r="F101" l="1"/>
  <c r="H101" s="1"/>
  <c r="AP72"/>
  <c r="AP67"/>
  <c r="AP65"/>
  <c r="AP71"/>
  <c r="AP69"/>
  <c r="AP66"/>
  <c r="AP68"/>
  <c r="AP64"/>
  <c r="AP73"/>
  <c r="AP70"/>
</calcChain>
</file>

<file path=xl/sharedStrings.xml><?xml version="1.0" encoding="utf-8"?>
<sst xmlns="http://schemas.openxmlformats.org/spreadsheetml/2006/main" count="865" uniqueCount="237">
  <si>
    <t>Foreningens navn</t>
  </si>
  <si>
    <t>Antal aktive 
medlemmer
2. halvår 2015</t>
  </si>
  <si>
    <t>Antal aktive 
medlemmer 
1. halvår 2015</t>
  </si>
  <si>
    <t>Antal aktive 
medl. 
under 25 år
2. halvår 2015</t>
  </si>
  <si>
    <t>Forenings-
tilskud
hele 2015</t>
  </si>
  <si>
    <t>Nyt foreslået 
foreningstilskud 
til alle - 
3.000 kr. pr. år</t>
  </si>
  <si>
    <t>Difference 
forenings-
tilsk.
Pr. år</t>
  </si>
  <si>
    <t>Medlemstilskud
(Forenings- og medl. Tilskud: XG-40104-2)</t>
  </si>
  <si>
    <t>Medlemstilskud
2. halvår 2015</t>
  </si>
  <si>
    <t>Medlemstilskud
1. halvår 2015</t>
  </si>
  <si>
    <t>Medlems-
tilskud
hele 2015</t>
  </si>
  <si>
    <t>Nyt foreslået 
medlemstilskud
til alle - 
213 kr. pr. medlem pr. år</t>
  </si>
  <si>
    <t>Difference 
Medlems-
tilskud 
pr. år</t>
  </si>
  <si>
    <t>Ungdomstimetilskud
(Ung.timetilskud: XG-40104-3)
2. halvår 2015</t>
  </si>
  <si>
    <t>Ungdoms.
Tilskud
2. halvår 2015</t>
  </si>
  <si>
    <t>Ungdoms.
Tilskud
1. halvår 2015</t>
  </si>
  <si>
    <t>Ungdoms.
Tilskud 
hele 2015</t>
  </si>
  <si>
    <t>Antal 
Ungdomstimer
i alt 
KUN for 
hal-inde-idræt</t>
  </si>
  <si>
    <t xml:space="preserve">Difference 
Ungdoms.
Tilskud 
</t>
  </si>
  <si>
    <t>Svømmetime-
tilskud 
1. halvår 2015</t>
  </si>
  <si>
    <t>Svømmetime-
tilskud 
hele 2015</t>
  </si>
  <si>
    <t>Total 
Difference</t>
  </si>
  <si>
    <t>Ungdoms-
procent</t>
  </si>
  <si>
    <t>Forholdstal =
Timer x Ungd.
Procent</t>
  </si>
  <si>
    <t>Forenings + 
Medlemstilskud
(XG-40104-2)</t>
  </si>
  <si>
    <t>Ungdomstimetilskud
og Forenings og 
Medlemstilskud 2015</t>
  </si>
  <si>
    <t>Ungdomstimetilskud
og Forenings og 
Medlemstilskud 2014</t>
  </si>
  <si>
    <t>Difference 2015-2014</t>
  </si>
  <si>
    <t>Bemærkning til difference</t>
  </si>
  <si>
    <t>Kursustilskud
ansøgt</t>
  </si>
  <si>
    <t>Transport-    udgifter</t>
  </si>
  <si>
    <t>Kursus+transport</t>
  </si>
  <si>
    <t>SIF Klubber</t>
  </si>
  <si>
    <t>Antal u. 21 år</t>
  </si>
  <si>
    <t>Tilskud</t>
  </si>
  <si>
    <t>Antal u. 25 år</t>
  </si>
  <si>
    <t>Tilskud samlet</t>
  </si>
  <si>
    <t>Antal timer</t>
  </si>
  <si>
    <t>Atletklubben Heros</t>
  </si>
  <si>
    <t>Har ikke søgt 2. halvår 2014</t>
  </si>
  <si>
    <t>Bredstrup-Pjedsted Idrætsforening - BPI (5 afd.)</t>
  </si>
  <si>
    <t>Flere medlemmer, men færre ungdomstimer</t>
  </si>
  <si>
    <t>Bredstrup Pjedsted Jagtforening</t>
  </si>
  <si>
    <t>ok</t>
  </si>
  <si>
    <t>Budokan</t>
  </si>
  <si>
    <t>DeltaSwim</t>
  </si>
  <si>
    <t>Dykkerklubben AKTIV</t>
  </si>
  <si>
    <t>Dykkerklubben Blop</t>
  </si>
  <si>
    <t>Egum Rideklub</t>
  </si>
  <si>
    <t>Elbohallens Badmintonklub</t>
  </si>
  <si>
    <t>Færre medlemmer</t>
  </si>
  <si>
    <t>Elbohallens Tennisklub</t>
  </si>
  <si>
    <t>Erritsø GIF (7 afd.)</t>
  </si>
  <si>
    <t>Fredericia Badminton Club</t>
  </si>
  <si>
    <t>Fredericia Basketball Klub</t>
  </si>
  <si>
    <t>Fredericia Bordtenninsklub (BTK) - ny tidl. FIF</t>
  </si>
  <si>
    <t>Fredericia Bowling team - kun 4 under 25</t>
  </si>
  <si>
    <t>Fredericia Bueskytte Klub</t>
  </si>
  <si>
    <t>Færre medlemmer og færre ungdomstimer</t>
  </si>
  <si>
    <t>Fredericia Cricketklub</t>
  </si>
  <si>
    <t>Fredericia Cycle Club</t>
  </si>
  <si>
    <t>Fredericia Fag- og FirmaIdrætsforening</t>
  </si>
  <si>
    <t>Fredericia forenede Fodboldklubber</t>
  </si>
  <si>
    <t>Flere u. 25 sml. M. 2014</t>
  </si>
  <si>
    <t>Fredericia Golf Club</t>
  </si>
  <si>
    <t>Fredericia Handicap Idrætsforening - 
kun 2 medl. Under 25 år i dec. 2014</t>
  </si>
  <si>
    <t>Fredericia Håndboldklub af 1990</t>
  </si>
  <si>
    <t>Flere medlemmer og 407 flere ungdomstimer</t>
  </si>
  <si>
    <t>Fredericia Judo &amp; Ju-Jutsu klub</t>
  </si>
  <si>
    <t>Fredericia Kajakklub</t>
  </si>
  <si>
    <t>Fredericia Kenpo Selfdefence</t>
  </si>
  <si>
    <t>Fredericia Løbeklub - kun få medl. Under 25 år</t>
  </si>
  <si>
    <t xml:space="preserve">Fredericia Motorklub </t>
  </si>
  <si>
    <t>Fredericia Roklub</t>
  </si>
  <si>
    <t>Fredericia Sejlklub</t>
  </si>
  <si>
    <t>Fredericia Skakforening</t>
  </si>
  <si>
    <t>Fredericia Skytteforening</t>
  </si>
  <si>
    <t>Fredericia Sportsfiskerforening
ikke 10 medlemmer under 25 år</t>
  </si>
  <si>
    <t>Fredericia Sportsrideklub</t>
  </si>
  <si>
    <t>Flere medlemmer</t>
  </si>
  <si>
    <t>Fredericia Taekwondo Klub</t>
  </si>
  <si>
    <t>Fredericia Tennisklub</t>
  </si>
  <si>
    <t>Fredericia Triathlon Team</t>
  </si>
  <si>
    <t>Fredericia Ungdoms Kegleklub</t>
  </si>
  <si>
    <t>Fri Voltige</t>
  </si>
  <si>
    <t>GYM7000 - lukket 2. halvår 2015</t>
  </si>
  <si>
    <t xml:space="preserve">Gymnastikforeningen 94 </t>
  </si>
  <si>
    <t>Herslev IF</t>
  </si>
  <si>
    <t>Herselv Rideklub</t>
  </si>
  <si>
    <t>KFUMs Boldklub Fredericia</t>
  </si>
  <si>
    <t>Færre medlemmer, men flere ungdomstimer</t>
  </si>
  <si>
    <t>Kipa- Silverflight</t>
  </si>
  <si>
    <t>Kvindelig Idrætsforening Fredericia (KIF)</t>
  </si>
  <si>
    <t>Motionsforeningen Sønder-Korskær - ny
for lavt kontingent til medlemstilskud</t>
  </si>
  <si>
    <t>Orienteringsklubben FROS</t>
  </si>
  <si>
    <t>Skærbæk Bådeklub</t>
  </si>
  <si>
    <t>Skærkæk Kajakklub</t>
  </si>
  <si>
    <t>Taulov Motion</t>
  </si>
  <si>
    <t>Taulov Skærbæk Idrætsforening (TSIF) (6 afd.)</t>
  </si>
  <si>
    <t>Trelde Gynmastikforeniing (TGI) (7 afd.)</t>
  </si>
  <si>
    <t>Færre medl. U. 21 og færre haltimer</t>
  </si>
  <si>
    <t>I alt</t>
  </si>
  <si>
    <t>BUS foreninger</t>
  </si>
  <si>
    <t>Tal fra 
2. halvår 
2015</t>
  </si>
  <si>
    <t>Tal fra 
1. halvår 
2015</t>
  </si>
  <si>
    <t>Tal fra 
1. halvår
2015</t>
  </si>
  <si>
    <t>Foreningstilskud 
2. halvår 2015</t>
  </si>
  <si>
    <t>Foreningstilskud 
1. halvår 2015</t>
  </si>
  <si>
    <t>Foreningstilskud 
hele 2015</t>
  </si>
  <si>
    <t xml:space="preserve">tilskud pr. md. 
Har været 31,88 kr. </t>
  </si>
  <si>
    <t>Udkast til 
kompensation på 80 %</t>
  </si>
  <si>
    <t>FDF 2. Fr. Chr. Sogn</t>
  </si>
  <si>
    <t>FDF Søndermarken</t>
  </si>
  <si>
    <t>FDF Vejlby Sogn</t>
  </si>
  <si>
    <t>KFUM Bülow gruppe</t>
  </si>
  <si>
    <t xml:space="preserve">KFUM Olaf Rye Gruppe </t>
  </si>
  <si>
    <t xml:space="preserve">KFUM Peder Griib </t>
  </si>
  <si>
    <t>KFUM Skærbæk</t>
  </si>
  <si>
    <t>KFUM Taulov</t>
  </si>
  <si>
    <t>DDS Fæstningsgruppen</t>
  </si>
  <si>
    <t>DDS Elbogruppen</t>
  </si>
  <si>
    <t>mistet i alt:</t>
  </si>
  <si>
    <t>Andre Godkendte Foreninger</t>
  </si>
  <si>
    <t>6. juligarden</t>
  </si>
  <si>
    <t>Natur &amp; Ungdom Lillebælt</t>
  </si>
  <si>
    <t xml:space="preserve">Det Tamilske Samordningsudvalg </t>
  </si>
  <si>
    <t xml:space="preserve">Trauma </t>
  </si>
  <si>
    <t>Club zoom junior/teen</t>
  </si>
  <si>
    <t>Indre Missions Ungdom*</t>
  </si>
  <si>
    <t>Den Afganske Kulturforening</t>
  </si>
  <si>
    <t>Somalisk Kulturforening</t>
  </si>
  <si>
    <t xml:space="preserve">Kulturforeningen BIH-SAN </t>
  </si>
  <si>
    <t>Dansk Tamilsk venskabsforening</t>
  </si>
  <si>
    <t>Taulov Rideklub - lukket</t>
  </si>
  <si>
    <t>Fredericia Tandemforening</t>
  </si>
  <si>
    <t>AMO - svømmeafdeling - ny</t>
  </si>
  <si>
    <t>Apostolsk Kirkes Børne- og Ungdomsforening
I Fredericia</t>
  </si>
  <si>
    <t>modtager ekstra i alt:</t>
  </si>
  <si>
    <t>Total</t>
  </si>
  <si>
    <t>Fredericia Ordningen</t>
  </si>
  <si>
    <t>Foreningstilskud</t>
  </si>
  <si>
    <t>70% af rammen</t>
  </si>
  <si>
    <t>Faktisk</t>
  </si>
  <si>
    <t xml:space="preserve">Medlemstilskud til 8.686 medlemmer </t>
  </si>
  <si>
    <t>70%  af rammen</t>
  </si>
  <si>
    <t>Rest</t>
  </si>
  <si>
    <t>Tilskud pr. medl.</t>
  </si>
  <si>
    <t>Kursustilskud</t>
  </si>
  <si>
    <t>30% af rammen</t>
  </si>
  <si>
    <t>Beregnet:</t>
  </si>
  <si>
    <t>Forbrugte kursusmidler i 2015</t>
  </si>
  <si>
    <t>SIF</t>
  </si>
  <si>
    <t>BUS</t>
  </si>
  <si>
    <t>Andel af 
medlemmer
under 25 år
2. halvår 
2015
i %</t>
  </si>
  <si>
    <t>Nyt  
forenings-
tilskud 
til alle - 
3.000 kr. 
pr. år</t>
  </si>
  <si>
    <t>Difference 
forenings-
tilskud
pr. år</t>
  </si>
  <si>
    <t>Nyt Facilitets-Tilskud =
Forholdstal x 
samlet ramme/
samlet forholds
tal</t>
  </si>
  <si>
    <t>Difference 
Svømmetime-
tilskud minimeres med 
50 %
(Nyt facl.tilskud)</t>
  </si>
  <si>
    <t>Samlet Forenings- og medlemstilskud</t>
  </si>
  <si>
    <t>Samlet kursustilskud</t>
  </si>
  <si>
    <t>Fredericia Ordningen 2015 tal - samlet ramme</t>
  </si>
  <si>
    <t>Fordeling</t>
  </si>
  <si>
    <t>Beregning</t>
  </si>
  <si>
    <t>Medlemstilskud</t>
  </si>
  <si>
    <t>Tilskudstype</t>
  </si>
  <si>
    <t>Udviklings- og overgangstilskud til 
BUS-foreninger</t>
  </si>
  <si>
    <t>Facilitetstilskud til svømmehaller</t>
  </si>
  <si>
    <t>Facilitetstilskud til idrætshaller</t>
  </si>
  <si>
    <t>Tilføjede tilskudstyper - ny finansiering</t>
  </si>
  <si>
    <t>Pulje afsat</t>
  </si>
  <si>
    <t>Difference</t>
  </si>
  <si>
    <t>Pulje år 2</t>
  </si>
  <si>
    <t>Pulje år 3</t>
  </si>
  <si>
    <t>Pulje år 4</t>
  </si>
  <si>
    <t>Pulje år 5</t>
  </si>
  <si>
    <t>Pulje år 1</t>
  </si>
  <si>
    <t>Beregning/
forventet</t>
  </si>
  <si>
    <t>Total difference 
efter tilskud fra 
udviklings- og 
overgangspulje</t>
  </si>
  <si>
    <t>Ny Udviklings- og 
overganspulje
år 1</t>
  </si>
  <si>
    <t>Fredericia Idrætsforening - FIF (Volley)
indstillet aktiviteter pt. Og ikke 10 under 25 år</t>
  </si>
  <si>
    <t>Forenings-
tilskud
2. halvår 2015</t>
  </si>
  <si>
    <t>Forenings-
tilskud
1. halvår 2015</t>
  </si>
  <si>
    <t>Medlems-
tilskud
2. halvår 2015</t>
  </si>
  <si>
    <t>Medlems-
tilskud
1. halvår 2015</t>
  </si>
  <si>
    <t>Svømmetime-
tilskud
2. halvår 2015</t>
  </si>
  <si>
    <t>Nyt  
forenings-
tilskud 
til alle - 
efter BUS niveau 
pr. år</t>
  </si>
  <si>
    <t>difference</t>
  </si>
  <si>
    <t xml:space="preserve">pr. år svarer det til </t>
  </si>
  <si>
    <t>Nyt foreslået 
medlemstilskud
til alle - 
på niveau med BUS pr. medlem pr. år</t>
  </si>
  <si>
    <t xml:space="preserve">sættes til </t>
  </si>
  <si>
    <t>Modtager ekstra</t>
  </si>
  <si>
    <t xml:space="preserve">OBS - uden at tallene for hovedforeningerne </t>
  </si>
  <si>
    <t>er ændret i forhold til medlemstilskud.</t>
  </si>
  <si>
    <t xml:space="preserve">Fastholdelse 
af Ungdoms.
Tilskud 
</t>
  </si>
  <si>
    <t>Svømmetime-
tilskud 
fastholdes</t>
  </si>
  <si>
    <t>Medl.tilskud</t>
  </si>
  <si>
    <t>Ungd.tilskud</t>
  </si>
  <si>
    <t>Svømmetilskud</t>
  </si>
  <si>
    <t>Samt ung. Og 
svømtilskud</t>
  </si>
  <si>
    <t>I alt og kursus</t>
  </si>
  <si>
    <t>og  80.000 kr. 
til BUS</t>
  </si>
  <si>
    <t>200.000 til facilitetstilskud er ikke nødvendigt</t>
  </si>
  <si>
    <t>90.000 kr. til svømmefaciliteter er ikke nødvendigt</t>
  </si>
  <si>
    <t>SUM I ALT</t>
  </si>
  <si>
    <t>Behov for merfinansiering</t>
  </si>
  <si>
    <t xml:space="preserve"> </t>
  </si>
  <si>
    <t>(medlemstilskud)</t>
  </si>
  <si>
    <t>(foreningstilskud)</t>
  </si>
  <si>
    <t>(nyt haltilskud)</t>
  </si>
  <si>
    <t>(nyt svømmetimetilskud)</t>
  </si>
  <si>
    <t>(intet ekstra tilskud til BUS)</t>
  </si>
  <si>
    <t>(Kursustilskud)</t>
  </si>
  <si>
    <t>Ved forhøjelse af Foreningstilskud og Medlemstilskud for alle til næsten BUS-niveau</t>
  </si>
  <si>
    <t>Hvis ungdomstimetilskud og svømmetimetilskud fastholdes</t>
  </si>
  <si>
    <t>Beregninger efter høringssvar, forslag AD 9.</t>
  </si>
  <si>
    <t>Forhøjelse af forenings- og medlemstilskud til BUS-niveau</t>
  </si>
  <si>
    <t xml:space="preserve">Behov for merfinansiering i forhold til nuværende niveau er minimun 1.200.000 kr. </t>
  </si>
  <si>
    <t>Tilskud pr. medlem</t>
  </si>
  <si>
    <t>(foreningstilskud, medlemstilskud, nyt svømmetilskud, nyt haltilskud, kursustilskud)</t>
  </si>
  <si>
    <t>Beregninger efter høringssvar, forslag AD 2.</t>
  </si>
  <si>
    <t>Fastholdelse af ungdomstime- og svømmetimetilskuddene</t>
  </si>
  <si>
    <t xml:space="preserve">Behov for merfinansiering i forhold til nuværende niveau er minimun xx kr. </t>
  </si>
  <si>
    <t>(ung. Og svømme
tilskud)</t>
  </si>
  <si>
    <t xml:space="preserve">Behov for merfinansiering i forhold til nuværende niveau er minimun 670.000 kr. </t>
  </si>
  <si>
    <t xml:space="preserve">Dertil selvstændige beregninger for de 4 hovedforeninger - merfinansiering på yderligere 420.000 kr. </t>
  </si>
  <si>
    <t>Beregninger efter høringssvar, forslag AD 3.</t>
  </si>
  <si>
    <t>Trappemodel for medlemstilskuddet</t>
  </si>
  <si>
    <t>Medlem 
0-25</t>
  </si>
  <si>
    <t>Medlem 
26-50</t>
  </si>
  <si>
    <t>Medlem 
51-100</t>
  </si>
  <si>
    <t>Medlem 
101-200</t>
  </si>
  <si>
    <t>Medlem 
201-400</t>
  </si>
  <si>
    <t>Medlem 
400 og op</t>
  </si>
  <si>
    <t>Trappemodel for medlemstilskud 
for medlemmer u. 25 år</t>
  </si>
  <si>
    <t>Nyt foreslået 
medlemstilskud
til alle - 
trappemodel</t>
  </si>
  <si>
    <t>Antal højste medlem</t>
  </si>
  <si>
    <t>Antal medlemmer i gruppen/kategorien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</si>
</sst>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_ ;_ @_ "/>
    <numFmt numFmtId="167" formatCode="[$-406]General"/>
    <numFmt numFmtId="168" formatCode="#,##0.00&quot; &quot;;&quot; -&quot;#,##0.00&quot; &quot;;&quot; -&quot;#&quot; &quot;;@&quot; &quot;"/>
    <numFmt numFmtId="169" formatCode="[$kr-406]&quot; &quot;#,##0.00;[Red][$kr-406]&quot; -&quot;#,##0.00"/>
    <numFmt numFmtId="170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8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  <xf numFmtId="0" fontId="8" fillId="0" borderId="0"/>
    <xf numFmtId="0" fontId="9" fillId="0" borderId="0"/>
    <xf numFmtId="167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/>
    <xf numFmtId="167" fontId="10" fillId="0" borderId="0" applyBorder="0" applyProtection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Protection="0">
      <alignment vertical="top" wrapText="1"/>
    </xf>
    <xf numFmtId="0" fontId="1" fillId="0" borderId="0"/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9" fillId="0" borderId="0"/>
    <xf numFmtId="169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0" fillId="0" borderId="1" xfId="0" applyBorder="1"/>
    <xf numFmtId="165" fontId="0" fillId="0" borderId="1" xfId="1" applyNumberFormat="1" applyFont="1" applyBorder="1"/>
    <xf numFmtId="0" fontId="0" fillId="0" borderId="1" xfId="0" applyFill="1" applyBorder="1"/>
    <xf numFmtId="165" fontId="3" fillId="3" borderId="1" xfId="1" applyNumberFormat="1" applyFont="1" applyFill="1" applyBorder="1"/>
    <xf numFmtId="4" fontId="0" fillId="0" borderId="1" xfId="0" applyNumberFormat="1" applyBorder="1"/>
    <xf numFmtId="4" fontId="0" fillId="0" borderId="0" xfId="0" applyNumberFormat="1" applyFill="1" applyBorder="1"/>
    <xf numFmtId="0" fontId="0" fillId="0" borderId="0" xfId="0" applyFill="1" applyBorder="1"/>
    <xf numFmtId="165" fontId="0" fillId="0" borderId="1" xfId="1" applyNumberFormat="1" applyFont="1" applyFill="1" applyBorder="1"/>
    <xf numFmtId="43" fontId="0" fillId="0" borderId="1" xfId="1" applyFont="1" applyFill="1" applyBorder="1"/>
    <xf numFmtId="43" fontId="0" fillId="0" borderId="1" xfId="2" applyFont="1" applyFill="1" applyBorder="1"/>
    <xf numFmtId="43" fontId="0" fillId="7" borderId="1" xfId="2" applyFont="1" applyFill="1" applyBorder="1"/>
    <xf numFmtId="0" fontId="0" fillId="0" borderId="1" xfId="0" applyFont="1" applyFill="1" applyBorder="1"/>
    <xf numFmtId="165" fontId="4" fillId="0" borderId="1" xfId="1" applyNumberFormat="1" applyFont="1" applyFill="1" applyBorder="1"/>
    <xf numFmtId="43" fontId="0" fillId="0" borderId="1" xfId="1" applyFont="1" applyBorder="1"/>
    <xf numFmtId="4" fontId="0" fillId="0" borderId="1" xfId="0" applyNumberFormat="1" applyFill="1" applyBorder="1"/>
    <xf numFmtId="0" fontId="5" fillId="0" borderId="3" xfId="3" applyBorder="1"/>
    <xf numFmtId="165" fontId="5" fillId="0" borderId="3" xfId="1" applyNumberFormat="1" applyFont="1" applyBorder="1"/>
    <xf numFmtId="43" fontId="5" fillId="0" borderId="3" xfId="1" applyFont="1" applyBorder="1"/>
    <xf numFmtId="43" fontId="0" fillId="3" borderId="1" xfId="2" applyFont="1" applyFill="1" applyBorder="1"/>
    <xf numFmtId="0" fontId="0" fillId="0" borderId="1" xfId="0" applyNumberFormat="1" applyFill="1" applyBorder="1"/>
    <xf numFmtId="0" fontId="5" fillId="0" borderId="3" xfId="4" applyNumberFormat="1" applyFont="1" applyBorder="1" applyAlignment="1"/>
    <xf numFmtId="165" fontId="5" fillId="0" borderId="3" xfId="1" applyNumberFormat="1" applyFont="1" applyBorder="1" applyAlignment="1"/>
    <xf numFmtId="166" fontId="0" fillId="0" borderId="1" xfId="0" applyNumberFormat="1" applyFont="1" applyFill="1" applyBorder="1"/>
    <xf numFmtId="43" fontId="0" fillId="0" borderId="1" xfId="0" applyNumberFormat="1" applyBorder="1"/>
    <xf numFmtId="0" fontId="0" fillId="3" borderId="1" xfId="0" applyFill="1" applyBorder="1"/>
    <xf numFmtId="4" fontId="7" fillId="0" borderId="0" xfId="0" applyNumberFormat="1" applyFont="1" applyFill="1" applyBorder="1"/>
    <xf numFmtId="43" fontId="1" fillId="0" borderId="1" xfId="2" applyFont="1" applyFill="1" applyBorder="1"/>
    <xf numFmtId="0" fontId="4" fillId="0" borderId="1" xfId="0" applyFont="1" applyFill="1" applyBorder="1"/>
    <xf numFmtId="4" fontId="4" fillId="0" borderId="0" xfId="0" applyNumberFormat="1" applyFont="1" applyFill="1" applyBorder="1"/>
    <xf numFmtId="0" fontId="0" fillId="0" borderId="0" xfId="0" applyFont="1" applyFill="1"/>
    <xf numFmtId="4" fontId="3" fillId="3" borderId="1" xfId="0" applyNumberFormat="1" applyFont="1" applyFill="1" applyBorder="1"/>
    <xf numFmtId="165" fontId="3" fillId="3" borderId="1" xfId="0" applyNumberFormat="1" applyFont="1" applyFill="1" applyBorder="1"/>
    <xf numFmtId="43" fontId="3" fillId="3" borderId="1" xfId="0" applyNumberFormat="1" applyFont="1" applyFill="1" applyBorder="1"/>
    <xf numFmtId="43" fontId="3" fillId="3" borderId="1" xfId="2" applyFont="1" applyFill="1" applyBorder="1"/>
    <xf numFmtId="0" fontId="0" fillId="0" borderId="0" xfId="0" applyFill="1"/>
    <xf numFmtId="43" fontId="0" fillId="0" borderId="0" xfId="0" applyNumberFormat="1"/>
    <xf numFmtId="4" fontId="0" fillId="0" borderId="0" xfId="0" applyNumberFormat="1"/>
    <xf numFmtId="165" fontId="3" fillId="0" borderId="1" xfId="1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165" fontId="8" fillId="0" borderId="1" xfId="1" applyNumberFormat="1" applyFont="1" applyBorder="1"/>
    <xf numFmtId="1" fontId="0" fillId="0" borderId="1" xfId="0" applyNumberFormat="1" applyBorder="1"/>
    <xf numFmtId="3" fontId="8" fillId="0" borderId="1" xfId="5" applyNumberFormat="1" applyBorder="1"/>
    <xf numFmtId="165" fontId="0" fillId="0" borderId="1" xfId="0" applyNumberFormat="1" applyBorder="1"/>
    <xf numFmtId="4" fontId="8" fillId="0" borderId="1" xfId="5" applyNumberFormat="1" applyBorder="1"/>
    <xf numFmtId="0" fontId="0" fillId="0" borderId="2" xfId="0" applyBorder="1"/>
    <xf numFmtId="165" fontId="2" fillId="0" borderId="1" xfId="0" applyNumberFormat="1" applyFont="1" applyFill="1" applyBorder="1"/>
    <xf numFmtId="4" fontId="8" fillId="0" borderId="1" xfId="5" applyNumberFormat="1" applyFill="1" applyBorder="1"/>
    <xf numFmtId="0" fontId="0" fillId="0" borderId="1" xfId="0" applyFill="1" applyBorder="1" applyAlignment="1">
      <alignment wrapText="1"/>
    </xf>
    <xf numFmtId="4" fontId="3" fillId="3" borderId="0" xfId="0" applyNumberFormat="1" applyFont="1" applyFill="1"/>
    <xf numFmtId="43" fontId="3" fillId="3" borderId="0" xfId="1" applyFont="1" applyFill="1"/>
    <xf numFmtId="165" fontId="0" fillId="0" borderId="0" xfId="0" applyNumberFormat="1"/>
    <xf numFmtId="165" fontId="3" fillId="0" borderId="1" xfId="0" applyNumberFormat="1" applyFont="1" applyFill="1" applyBorder="1"/>
    <xf numFmtId="0" fontId="9" fillId="0" borderId="1" xfId="6" applyFont="1" applyBorder="1"/>
    <xf numFmtId="165" fontId="0" fillId="0" borderId="4" xfId="0" applyNumberFormat="1" applyFill="1" applyBorder="1"/>
    <xf numFmtId="0" fontId="9" fillId="0" borderId="1" xfId="6" applyFont="1" applyFill="1" applyBorder="1" applyAlignment="1">
      <alignment wrapText="1"/>
    </xf>
    <xf numFmtId="0" fontId="0" fillId="0" borderId="4" xfId="0" applyFill="1" applyBorder="1"/>
    <xf numFmtId="0" fontId="9" fillId="0" borderId="1" xfId="6" applyBorder="1"/>
    <xf numFmtId="0" fontId="9" fillId="0" borderId="1" xfId="6" applyFont="1" applyFill="1" applyBorder="1"/>
    <xf numFmtId="0" fontId="9" fillId="0" borderId="1" xfId="6" applyFill="1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3" fillId="0" borderId="1" xfId="0" applyFont="1" applyBorder="1"/>
    <xf numFmtId="0" fontId="3" fillId="6" borderId="0" xfId="0" applyFont="1" applyFill="1"/>
    <xf numFmtId="165" fontId="3" fillId="6" borderId="0" xfId="0" applyNumberFormat="1" applyFont="1" applyFill="1"/>
    <xf numFmtId="165" fontId="3" fillId="0" borderId="0" xfId="0" applyNumberFormat="1" applyFont="1"/>
    <xf numFmtId="43" fontId="3" fillId="0" borderId="0" xfId="0" applyNumberFormat="1" applyFont="1"/>
    <xf numFmtId="3" fontId="3" fillId="6" borderId="6" xfId="0" applyNumberFormat="1" applyFont="1" applyFill="1" applyBorder="1"/>
    <xf numFmtId="3" fontId="3" fillId="6" borderId="7" xfId="0" applyNumberFormat="1" applyFont="1" applyFill="1" applyBorder="1"/>
    <xf numFmtId="165" fontId="0" fillId="0" borderId="0" xfId="1" applyNumberFormat="1" applyFont="1"/>
    <xf numFmtId="165" fontId="3" fillId="0" borderId="0" xfId="1" applyNumberFormat="1" applyFont="1"/>
    <xf numFmtId="0" fontId="3" fillId="6" borderId="2" xfId="0" applyFont="1" applyFill="1" applyBorder="1"/>
    <xf numFmtId="165" fontId="3" fillId="6" borderId="4" xfId="0" applyNumberFormat="1" applyFont="1" applyFill="1" applyBorder="1"/>
    <xf numFmtId="165" fontId="0" fillId="0" borderId="0" xfId="1" applyNumberFormat="1" applyFont="1" applyBorder="1"/>
    <xf numFmtId="165" fontId="12" fillId="0" borderId="0" xfId="1" applyNumberFormat="1" applyFont="1" applyBorder="1"/>
    <xf numFmtId="0" fontId="21" fillId="2" borderId="1" xfId="0" applyFont="1" applyFill="1" applyBorder="1" applyAlignment="1">
      <alignment vertical="top" wrapText="1"/>
    </xf>
    <xf numFmtId="0" fontId="20" fillId="3" borderId="1" xfId="0" applyFont="1" applyFill="1" applyBorder="1"/>
    <xf numFmtId="0" fontId="20" fillId="3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 wrapText="1"/>
    </xf>
    <xf numFmtId="3" fontId="0" fillId="0" borderId="1" xfId="0" applyNumberFormat="1" applyBorder="1"/>
    <xf numFmtId="0" fontId="0" fillId="0" borderId="8" xfId="0" applyFill="1" applyBorder="1"/>
    <xf numFmtId="165" fontId="3" fillId="0" borderId="0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5" fontId="0" fillId="0" borderId="0" xfId="0" applyNumberFormat="1" applyFill="1" applyBorder="1"/>
    <xf numFmtId="0" fontId="0" fillId="4" borderId="1" xfId="0" applyFill="1" applyBorder="1" applyAlignment="1">
      <alignment vertical="top" wrapText="1"/>
    </xf>
    <xf numFmtId="165" fontId="3" fillId="0" borderId="1" xfId="1" applyNumberFormat="1" applyFont="1" applyFill="1" applyBorder="1"/>
    <xf numFmtId="0" fontId="0" fillId="5" borderId="2" xfId="0" applyFill="1" applyBorder="1" applyAlignment="1">
      <alignment vertical="top" wrapText="1"/>
    </xf>
    <xf numFmtId="43" fontId="0" fillId="0" borderId="2" xfId="1" applyFont="1" applyFill="1" applyBorder="1"/>
    <xf numFmtId="43" fontId="3" fillId="3" borderId="2" xfId="0" applyNumberFormat="1" applyFont="1" applyFill="1" applyBorder="1"/>
    <xf numFmtId="0" fontId="0" fillId="3" borderId="4" xfId="0" applyFill="1" applyBorder="1" applyAlignment="1">
      <alignment vertical="top" wrapText="1"/>
    </xf>
    <xf numFmtId="165" fontId="4" fillId="0" borderId="4" xfId="1" applyNumberFormat="1" applyFont="1" applyFill="1" applyBorder="1"/>
    <xf numFmtId="165" fontId="3" fillId="3" borderId="4" xfId="1" applyNumberFormat="1" applyFont="1" applyFill="1" applyBorder="1"/>
    <xf numFmtId="165" fontId="3" fillId="3" borderId="4" xfId="0" applyNumberFormat="1" applyFont="1" applyFill="1" applyBorder="1"/>
    <xf numFmtId="0" fontId="0" fillId="6" borderId="9" xfId="0" applyFill="1" applyBorder="1" applyAlignment="1">
      <alignment vertical="top" wrapText="1"/>
    </xf>
    <xf numFmtId="0" fontId="0" fillId="0" borderId="10" xfId="0" applyFill="1" applyBorder="1"/>
    <xf numFmtId="165" fontId="4" fillId="0" borderId="10" xfId="1" applyNumberFormat="1" applyFont="1" applyFill="1" applyBorder="1"/>
    <xf numFmtId="165" fontId="0" fillId="0" borderId="10" xfId="1" applyNumberFormat="1" applyFont="1" applyFill="1" applyBorder="1"/>
    <xf numFmtId="165" fontId="3" fillId="3" borderId="10" xfId="1" applyNumberFormat="1" applyFont="1" applyFill="1" applyBorder="1"/>
    <xf numFmtId="0" fontId="0" fillId="0" borderId="11" xfId="0" applyFill="1" applyBorder="1"/>
    <xf numFmtId="0" fontId="0" fillId="6" borderId="10" xfId="0" applyFill="1" applyBorder="1" applyAlignment="1">
      <alignment vertical="top" wrapText="1"/>
    </xf>
    <xf numFmtId="165" fontId="0" fillId="0" borderId="10" xfId="0" applyNumberFormat="1" applyFill="1" applyBorder="1"/>
    <xf numFmtId="165" fontId="3" fillId="3" borderId="12" xfId="0" applyNumberFormat="1" applyFont="1" applyFill="1" applyBorder="1"/>
    <xf numFmtId="43" fontId="3" fillId="6" borderId="0" xfId="0" applyNumberFormat="1" applyFont="1" applyFill="1"/>
    <xf numFmtId="9" fontId="0" fillId="0" borderId="1" xfId="0" applyNumberFormat="1" applyBorder="1"/>
    <xf numFmtId="3" fontId="3" fillId="0" borderId="1" xfId="0" applyNumberFormat="1" applyFont="1" applyFill="1" applyBorder="1"/>
    <xf numFmtId="165" fontId="3" fillId="0" borderId="1" xfId="1" applyNumberFormat="1" applyFont="1" applyBorder="1"/>
    <xf numFmtId="0" fontId="3" fillId="9" borderId="1" xfId="0" applyFont="1" applyFill="1" applyBorder="1"/>
    <xf numFmtId="3" fontId="3" fillId="0" borderId="1" xfId="0" applyNumberFormat="1" applyFont="1" applyBorder="1"/>
    <xf numFmtId="0" fontId="3" fillId="9" borderId="1" xfId="0" applyFont="1" applyFill="1" applyBorder="1" applyAlignment="1">
      <alignment wrapText="1"/>
    </xf>
    <xf numFmtId="165" fontId="0" fillId="0" borderId="1" xfId="0" applyNumberFormat="1" applyFill="1" applyBorder="1"/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165" fontId="4" fillId="0" borderId="1" xfId="0" applyNumberFormat="1" applyFont="1" applyFill="1" applyBorder="1"/>
    <xf numFmtId="0" fontId="0" fillId="6" borderId="1" xfId="0" applyFill="1" applyBorder="1" applyAlignment="1">
      <alignment vertical="top" wrapText="1"/>
    </xf>
    <xf numFmtId="0" fontId="0" fillId="10" borderId="13" xfId="0" applyFill="1" applyBorder="1" applyAlignment="1">
      <alignment vertical="top" wrapText="1"/>
    </xf>
    <xf numFmtId="0" fontId="5" fillId="0" borderId="3" xfId="3" applyFill="1" applyBorder="1"/>
    <xf numFmtId="43" fontId="5" fillId="0" borderId="3" xfId="1" applyFont="1" applyFill="1" applyBorder="1" applyAlignment="1"/>
    <xf numFmtId="43" fontId="4" fillId="0" borderId="1" xfId="1" applyFont="1" applyFill="1" applyBorder="1"/>
    <xf numFmtId="0" fontId="5" fillId="0" borderId="3" xfId="4" applyNumberFormat="1" applyFont="1" applyFill="1" applyBorder="1" applyAlignment="1"/>
    <xf numFmtId="43" fontId="4" fillId="0" borderId="1" xfId="2" applyFont="1" applyFill="1" applyBorder="1"/>
    <xf numFmtId="43" fontId="3" fillId="0" borderId="1" xfId="0" applyNumberFormat="1" applyFont="1" applyFill="1" applyBorder="1"/>
    <xf numFmtId="165" fontId="4" fillId="0" borderId="10" xfId="0" applyNumberFormat="1" applyFont="1" applyFill="1" applyBorder="1"/>
    <xf numFmtId="170" fontId="3" fillId="3" borderId="1" xfId="1" applyNumberFormat="1" applyFont="1" applyFill="1" applyBorder="1"/>
    <xf numFmtId="170" fontId="0" fillId="0" borderId="1" xfId="1" applyNumberFormat="1" applyFont="1" applyBorder="1"/>
    <xf numFmtId="170" fontId="9" fillId="0" borderId="2" xfId="1" applyNumberFormat="1" applyFont="1" applyFill="1" applyBorder="1"/>
    <xf numFmtId="170" fontId="11" fillId="0" borderId="5" xfId="1" applyNumberFormat="1" applyFont="1" applyFill="1" applyBorder="1"/>
    <xf numFmtId="170" fontId="9" fillId="0" borderId="2" xfId="1" applyNumberFormat="1" applyFont="1" applyFill="1" applyBorder="1" applyAlignment="1">
      <alignment wrapText="1"/>
    </xf>
    <xf numFmtId="170" fontId="0" fillId="0" borderId="2" xfId="1" applyNumberFormat="1" applyFont="1" applyFill="1" applyBorder="1"/>
    <xf numFmtId="165" fontId="4" fillId="0" borderId="4" xfId="0" applyNumberFormat="1" applyFont="1" applyFill="1" applyBorder="1"/>
    <xf numFmtId="4" fontId="5" fillId="0" borderId="0" xfId="3" applyNumberFormat="1" applyFill="1"/>
    <xf numFmtId="4" fontId="0" fillId="0" borderId="1" xfId="0" applyNumberFormat="1" applyFont="1" applyFill="1" applyBorder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" fontId="0" fillId="0" borderId="0" xfId="0" applyNumberFormat="1" applyFill="1"/>
    <xf numFmtId="4" fontId="3" fillId="0" borderId="1" xfId="0" applyNumberFormat="1" applyFont="1" applyFill="1" applyBorder="1"/>
    <xf numFmtId="0" fontId="0" fillId="0" borderId="1" xfId="0" applyFill="1" applyBorder="1" applyAlignment="1">
      <alignment vertical="top"/>
    </xf>
    <xf numFmtId="0" fontId="3" fillId="0" borderId="1" xfId="0" applyFont="1" applyFill="1" applyBorder="1"/>
    <xf numFmtId="165" fontId="3" fillId="11" borderId="0" xfId="0" applyNumberFormat="1" applyFont="1" applyFill="1"/>
    <xf numFmtId="165" fontId="0" fillId="3" borderId="1" xfId="1" applyNumberFormat="1" applyFont="1" applyFill="1" applyBorder="1"/>
    <xf numFmtId="43" fontId="3" fillId="11" borderId="0" xfId="0" applyNumberFormat="1" applyFont="1" applyFill="1"/>
    <xf numFmtId="164" fontId="3" fillId="0" borderId="0" xfId="0" applyNumberFormat="1" applyFont="1" applyFill="1"/>
    <xf numFmtId="165" fontId="0" fillId="11" borderId="10" xfId="1" applyNumberFormat="1" applyFont="1" applyFill="1" applyBorder="1"/>
    <xf numFmtId="165" fontId="4" fillId="11" borderId="10" xfId="1" applyNumberFormat="1" applyFont="1" applyFill="1" applyBorder="1"/>
    <xf numFmtId="0" fontId="0" fillId="4" borderId="2" xfId="0" applyFill="1" applyBorder="1" applyAlignment="1">
      <alignment vertical="top" wrapText="1"/>
    </xf>
    <xf numFmtId="43" fontId="0" fillId="0" borderId="0" xfId="0" applyNumberFormat="1" applyFill="1"/>
    <xf numFmtId="43" fontId="3" fillId="0" borderId="0" xfId="0" applyNumberFormat="1" applyFont="1" applyFill="1"/>
    <xf numFmtId="0" fontId="0" fillId="0" borderId="0" xfId="0" applyAlignment="1">
      <alignment vertical="top" wrapText="1"/>
    </xf>
    <xf numFmtId="164" fontId="0" fillId="0" borderId="0" xfId="0" applyNumberFormat="1"/>
    <xf numFmtId="0" fontId="3" fillId="0" borderId="15" xfId="0" applyFont="1" applyBorder="1"/>
    <xf numFmtId="165" fontId="3" fillId="0" borderId="16" xfId="0" applyNumberFormat="1" applyFont="1" applyBorder="1"/>
    <xf numFmtId="3" fontId="0" fillId="0" borderId="0" xfId="0" applyNumberFormat="1"/>
    <xf numFmtId="0" fontId="3" fillId="0" borderId="0" xfId="0" applyFont="1" applyFill="1" applyBorder="1"/>
    <xf numFmtId="165" fontId="0" fillId="0" borderId="0" xfId="0" applyNumberFormat="1" applyFont="1" applyFill="1" applyBorder="1"/>
    <xf numFmtId="3" fontId="0" fillId="0" borderId="0" xfId="0" applyNumberFormat="1" applyFont="1"/>
    <xf numFmtId="0" fontId="3" fillId="11" borderId="17" xfId="0" applyFont="1" applyFill="1" applyBorder="1"/>
    <xf numFmtId="0" fontId="0" fillId="11" borderId="18" xfId="0" applyFill="1" applyBorder="1"/>
    <xf numFmtId="0" fontId="0" fillId="11" borderId="19" xfId="0" applyFill="1" applyBorder="1"/>
    <xf numFmtId="165" fontId="3" fillId="11" borderId="20" xfId="0" applyNumberFormat="1" applyFont="1" applyFill="1" applyBorder="1"/>
    <xf numFmtId="3" fontId="3" fillId="6" borderId="0" xfId="0" applyNumberFormat="1" applyFont="1" applyFill="1" applyBorder="1"/>
    <xf numFmtId="0" fontId="3" fillId="3" borderId="0" xfId="0" applyFont="1" applyFill="1"/>
    <xf numFmtId="165" fontId="3" fillId="3" borderId="0" xfId="0" applyNumberFormat="1" applyFont="1" applyFill="1"/>
    <xf numFmtId="0" fontId="0" fillId="0" borderId="0" xfId="0" applyBorder="1"/>
    <xf numFmtId="0" fontId="0" fillId="11" borderId="15" xfId="0" applyFill="1" applyBorder="1"/>
    <xf numFmtId="165" fontId="3" fillId="11" borderId="16" xfId="0" applyNumberFormat="1" applyFont="1" applyFill="1" applyBorder="1"/>
    <xf numFmtId="165" fontId="0" fillId="0" borderId="0" xfId="0" applyNumberFormat="1" applyBorder="1"/>
    <xf numFmtId="165" fontId="3" fillId="0" borderId="0" xfId="1" applyNumberFormat="1" applyFont="1" applyBorder="1"/>
    <xf numFmtId="3" fontId="3" fillId="0" borderId="0" xfId="0" applyNumberFormat="1" applyFont="1" applyFill="1" applyBorder="1"/>
    <xf numFmtId="0" fontId="3" fillId="0" borderId="0" xfId="0" applyFont="1" applyBorder="1"/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0" fillId="0" borderId="1" xfId="0" applyBorder="1"/>
    <xf numFmtId="0" fontId="0" fillId="0" borderId="1" xfId="0" applyFill="1" applyBorder="1"/>
    <xf numFmtId="4" fontId="0" fillId="0" borderId="1" xfId="0" applyNumberFormat="1" applyBorder="1"/>
    <xf numFmtId="4" fontId="0" fillId="0" borderId="0" xfId="0" applyNumberFormat="1" applyFill="1" applyBorder="1"/>
    <xf numFmtId="0" fontId="0" fillId="0" borderId="0" xfId="0" applyFill="1" applyBorder="1"/>
    <xf numFmtId="0" fontId="0" fillId="0" borderId="1" xfId="0" applyFont="1" applyFill="1" applyBorder="1"/>
    <xf numFmtId="4" fontId="0" fillId="0" borderId="1" xfId="0" applyNumberFormat="1" applyFill="1" applyBorder="1"/>
    <xf numFmtId="0" fontId="5" fillId="0" borderId="3" xfId="3" applyBorder="1"/>
    <xf numFmtId="0" fontId="0" fillId="0" borderId="1" xfId="0" applyNumberFormat="1" applyFill="1" applyBorder="1"/>
    <xf numFmtId="0" fontId="5" fillId="0" borderId="3" xfId="4" applyNumberFormat="1" applyFont="1" applyBorder="1" applyAlignment="1"/>
    <xf numFmtId="166" fontId="0" fillId="0" borderId="1" xfId="0" applyNumberFormat="1" applyFont="1" applyFill="1" applyBorder="1"/>
    <xf numFmtId="0" fontId="0" fillId="3" borderId="1" xfId="0" applyFill="1" applyBorder="1"/>
    <xf numFmtId="4" fontId="7" fillId="0" borderId="0" xfId="0" applyNumberFormat="1" applyFont="1" applyFill="1" applyBorder="1"/>
    <xf numFmtId="0" fontId="4" fillId="0" borderId="1" xfId="0" applyFont="1" applyFill="1" applyBorder="1"/>
    <xf numFmtId="4" fontId="4" fillId="0" borderId="0" xfId="0" applyNumberFormat="1" applyFont="1" applyFill="1" applyBorder="1"/>
    <xf numFmtId="0" fontId="0" fillId="0" borderId="0" xfId="0" applyFont="1" applyFill="1"/>
    <xf numFmtId="4" fontId="3" fillId="3" borderId="1" xfId="0" applyNumberFormat="1" applyFont="1" applyFill="1" applyBorder="1"/>
    <xf numFmtId="165" fontId="3" fillId="3" borderId="1" xfId="0" applyNumberFormat="1" applyFont="1" applyFill="1" applyBorder="1"/>
    <xf numFmtId="0" fontId="0" fillId="0" borderId="0" xfId="0" applyFill="1"/>
    <xf numFmtId="4" fontId="0" fillId="0" borderId="0" xfId="0" applyNumberFormat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1" fontId="0" fillId="0" borderId="1" xfId="0" applyNumberFormat="1" applyBorder="1"/>
    <xf numFmtId="3" fontId="8" fillId="0" borderId="1" xfId="5" applyNumberFormat="1" applyBorder="1"/>
    <xf numFmtId="165" fontId="0" fillId="0" borderId="1" xfId="0" applyNumberFormat="1" applyBorder="1"/>
    <xf numFmtId="4" fontId="8" fillId="0" borderId="1" xfId="5" applyNumberFormat="1" applyBorder="1"/>
    <xf numFmtId="0" fontId="0" fillId="0" borderId="2" xfId="0" applyBorder="1"/>
    <xf numFmtId="165" fontId="2" fillId="0" borderId="1" xfId="0" applyNumberFormat="1" applyFont="1" applyFill="1" applyBorder="1"/>
    <xf numFmtId="4" fontId="8" fillId="0" borderId="1" xfId="5" applyNumberFormat="1" applyFill="1" applyBorder="1"/>
    <xf numFmtId="0" fontId="0" fillId="0" borderId="1" xfId="0" applyFill="1" applyBorder="1" applyAlignment="1">
      <alignment wrapText="1"/>
    </xf>
    <xf numFmtId="4" fontId="3" fillId="3" borderId="0" xfId="0" applyNumberFormat="1" applyFont="1" applyFill="1"/>
    <xf numFmtId="165" fontId="0" fillId="0" borderId="0" xfId="0" applyNumberFormat="1"/>
    <xf numFmtId="165" fontId="3" fillId="0" borderId="1" xfId="0" applyNumberFormat="1" applyFont="1" applyFill="1" applyBorder="1"/>
    <xf numFmtId="0" fontId="9" fillId="0" borderId="1" xfId="6" applyFont="1" applyBorder="1"/>
    <xf numFmtId="165" fontId="0" fillId="0" borderId="4" xfId="0" applyNumberFormat="1" applyFill="1" applyBorder="1"/>
    <xf numFmtId="0" fontId="9" fillId="0" borderId="1" xfId="6" applyFont="1" applyFill="1" applyBorder="1" applyAlignment="1">
      <alignment wrapText="1"/>
    </xf>
    <xf numFmtId="0" fontId="0" fillId="0" borderId="4" xfId="0" applyFill="1" applyBorder="1"/>
    <xf numFmtId="0" fontId="9" fillId="0" borderId="1" xfId="6" applyBorder="1"/>
    <xf numFmtId="0" fontId="9" fillId="0" borderId="1" xfId="6" applyFont="1" applyFill="1" applyBorder="1"/>
    <xf numFmtId="0" fontId="9" fillId="0" borderId="1" xfId="6" applyFill="1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3" fillId="0" borderId="1" xfId="0" applyFont="1" applyBorder="1"/>
    <xf numFmtId="0" fontId="3" fillId="6" borderId="0" xfId="0" applyFont="1" applyFill="1"/>
    <xf numFmtId="165" fontId="3" fillId="6" borderId="0" xfId="0" applyNumberFormat="1" applyFont="1" applyFill="1"/>
    <xf numFmtId="165" fontId="3" fillId="0" borderId="0" xfId="0" applyNumberFormat="1" applyFont="1"/>
    <xf numFmtId="3" fontId="3" fillId="6" borderId="6" xfId="0" applyNumberFormat="1" applyFont="1" applyFill="1" applyBorder="1"/>
    <xf numFmtId="3" fontId="3" fillId="6" borderId="7" xfId="0" applyNumberFormat="1" applyFont="1" applyFill="1" applyBorder="1"/>
    <xf numFmtId="0" fontId="3" fillId="6" borderId="2" xfId="0" applyFont="1" applyFill="1" applyBorder="1"/>
    <xf numFmtId="165" fontId="3" fillId="6" borderId="4" xfId="0" applyNumberFormat="1" applyFont="1" applyFill="1" applyBorder="1"/>
    <xf numFmtId="0" fontId="21" fillId="2" borderId="1" xfId="0" applyFont="1" applyFill="1" applyBorder="1" applyAlignment="1">
      <alignment vertical="top" wrapText="1"/>
    </xf>
    <xf numFmtId="0" fontId="20" fillId="3" borderId="1" xfId="0" applyFont="1" applyFill="1" applyBorder="1"/>
    <xf numFmtId="0" fontId="20" fillId="3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 wrapText="1"/>
    </xf>
    <xf numFmtId="0" fontId="0" fillId="0" borderId="8" xfId="0" applyFill="1" applyBorder="1"/>
    <xf numFmtId="165" fontId="3" fillId="0" borderId="0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5" fontId="0" fillId="0" borderId="0" xfId="0" applyNumberFormat="1" applyFill="1" applyBorder="1"/>
    <xf numFmtId="0" fontId="0" fillId="4" borderId="1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165" fontId="3" fillId="3" borderId="4" xfId="0" applyNumberFormat="1" applyFont="1" applyFill="1" applyBorder="1"/>
    <xf numFmtId="0" fontId="0" fillId="6" borderId="9" xfId="0" applyFill="1" applyBorder="1" applyAlignment="1">
      <alignment vertical="top" wrapText="1"/>
    </xf>
    <xf numFmtId="0" fontId="0" fillId="0" borderId="10" xfId="0" applyFill="1" applyBorder="1"/>
    <xf numFmtId="0" fontId="0" fillId="0" borderId="11" xfId="0" applyFill="1" applyBorder="1"/>
    <xf numFmtId="0" fontId="0" fillId="6" borderId="10" xfId="0" applyFill="1" applyBorder="1" applyAlignment="1">
      <alignment vertical="top" wrapText="1"/>
    </xf>
    <xf numFmtId="165" fontId="0" fillId="0" borderId="10" xfId="0" applyNumberFormat="1" applyFill="1" applyBorder="1"/>
    <xf numFmtId="165" fontId="3" fillId="3" borderId="12" xfId="0" applyNumberFormat="1" applyFont="1" applyFill="1" applyBorder="1"/>
    <xf numFmtId="0" fontId="3" fillId="9" borderId="1" xfId="0" applyFont="1" applyFill="1" applyBorder="1"/>
    <xf numFmtId="3" fontId="3" fillId="0" borderId="1" xfId="0" applyNumberFormat="1" applyFont="1" applyBorder="1"/>
    <xf numFmtId="0" fontId="3" fillId="9" borderId="1" xfId="0" applyFont="1" applyFill="1" applyBorder="1" applyAlignment="1">
      <alignment wrapText="1"/>
    </xf>
    <xf numFmtId="165" fontId="0" fillId="0" borderId="1" xfId="0" applyNumberFormat="1" applyFill="1" applyBorder="1"/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165" fontId="4" fillId="0" borderId="1" xfId="0" applyNumberFormat="1" applyFont="1" applyFill="1" applyBorder="1"/>
    <xf numFmtId="0" fontId="0" fillId="6" borderId="1" xfId="0" applyFill="1" applyBorder="1" applyAlignment="1">
      <alignment vertical="top" wrapText="1"/>
    </xf>
    <xf numFmtId="0" fontId="0" fillId="10" borderId="13" xfId="0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3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/>
  </cellXfs>
  <cellStyles count="386">
    <cellStyle name="1000-sep (2 dec)" xfId="1" builtinId="3"/>
    <cellStyle name="1000-sep (2 dec) 10" xfId="2"/>
    <cellStyle name="1000-sep (2 dec) 10 2" xfId="211"/>
    <cellStyle name="1000-sep (2 dec) 11" xfId="8"/>
    <cellStyle name="1000-sep (2 dec) 11 2" xfId="212"/>
    <cellStyle name="1000-sep (2 dec) 12" xfId="9"/>
    <cellStyle name="1000-sep (2 dec) 12 2" xfId="213"/>
    <cellStyle name="1000-sep (2 dec) 13" xfId="210"/>
    <cellStyle name="1000-sep (2 dec) 2" xfId="10"/>
    <cellStyle name="1000-sep (2 dec) 2 10" xfId="214"/>
    <cellStyle name="1000-sep (2 dec) 2 2" xfId="11"/>
    <cellStyle name="1000-sep (2 dec) 2 2 2" xfId="12"/>
    <cellStyle name="1000-sep (2 dec) 2 2 2 2" xfId="13"/>
    <cellStyle name="1000-sep (2 dec) 2 2 2 2 2" xfId="217"/>
    <cellStyle name="1000-sep (2 dec) 2 2 2 3" xfId="14"/>
    <cellStyle name="1000-sep (2 dec) 2 2 2 3 2" xfId="218"/>
    <cellStyle name="1000-sep (2 dec) 2 2 2 4" xfId="216"/>
    <cellStyle name="1000-sep (2 dec) 2 2 3" xfId="15"/>
    <cellStyle name="1000-sep (2 dec) 2 2 3 2" xfId="16"/>
    <cellStyle name="1000-sep (2 dec) 2 2 3 2 2" xfId="220"/>
    <cellStyle name="1000-sep (2 dec) 2 2 3 3" xfId="17"/>
    <cellStyle name="1000-sep (2 dec) 2 2 3 3 2" xfId="221"/>
    <cellStyle name="1000-sep (2 dec) 2 2 3 4" xfId="219"/>
    <cellStyle name="1000-sep (2 dec) 2 2 4" xfId="18"/>
    <cellStyle name="1000-sep (2 dec) 2 2 4 2" xfId="19"/>
    <cellStyle name="1000-sep (2 dec) 2 2 4 2 2" xfId="223"/>
    <cellStyle name="1000-sep (2 dec) 2 2 4 3" xfId="20"/>
    <cellStyle name="1000-sep (2 dec) 2 2 4 3 2" xfId="224"/>
    <cellStyle name="1000-sep (2 dec) 2 2 4 4" xfId="222"/>
    <cellStyle name="1000-sep (2 dec) 2 2 5" xfId="21"/>
    <cellStyle name="1000-sep (2 dec) 2 2 5 2" xfId="22"/>
    <cellStyle name="1000-sep (2 dec) 2 2 5 2 2" xfId="226"/>
    <cellStyle name="1000-sep (2 dec) 2 2 5 3" xfId="23"/>
    <cellStyle name="1000-sep (2 dec) 2 2 5 3 2" xfId="227"/>
    <cellStyle name="1000-sep (2 dec) 2 2 5 4" xfId="225"/>
    <cellStyle name="1000-sep (2 dec) 2 2 6" xfId="24"/>
    <cellStyle name="1000-sep (2 dec) 2 2 6 2" xfId="228"/>
    <cellStyle name="1000-sep (2 dec) 2 2 7" xfId="25"/>
    <cellStyle name="1000-sep (2 dec) 2 2 7 2" xfId="229"/>
    <cellStyle name="1000-sep (2 dec) 2 2 8" xfId="215"/>
    <cellStyle name="1000-sep (2 dec) 2 3" xfId="26"/>
    <cellStyle name="1000-sep (2 dec) 2 3 2" xfId="27"/>
    <cellStyle name="1000-sep (2 dec) 2 3 2 2" xfId="231"/>
    <cellStyle name="1000-sep (2 dec) 2 3 3" xfId="28"/>
    <cellStyle name="1000-sep (2 dec) 2 3 3 2" xfId="232"/>
    <cellStyle name="1000-sep (2 dec) 2 3 4" xfId="230"/>
    <cellStyle name="1000-sep (2 dec) 2 4" xfId="29"/>
    <cellStyle name="1000-sep (2 dec) 2 4 2" xfId="30"/>
    <cellStyle name="1000-sep (2 dec) 2 4 2 2" xfId="234"/>
    <cellStyle name="1000-sep (2 dec) 2 4 3" xfId="31"/>
    <cellStyle name="1000-sep (2 dec) 2 4 3 2" xfId="235"/>
    <cellStyle name="1000-sep (2 dec) 2 4 4" xfId="233"/>
    <cellStyle name="1000-sep (2 dec) 2 5" xfId="32"/>
    <cellStyle name="1000-sep (2 dec) 2 5 2" xfId="33"/>
    <cellStyle name="1000-sep (2 dec) 2 5 2 2" xfId="237"/>
    <cellStyle name="1000-sep (2 dec) 2 5 3" xfId="34"/>
    <cellStyle name="1000-sep (2 dec) 2 5 3 2" xfId="238"/>
    <cellStyle name="1000-sep (2 dec) 2 5 4" xfId="236"/>
    <cellStyle name="1000-sep (2 dec) 2 6" xfId="35"/>
    <cellStyle name="1000-sep (2 dec) 2 6 2" xfId="36"/>
    <cellStyle name="1000-sep (2 dec) 2 6 2 2" xfId="240"/>
    <cellStyle name="1000-sep (2 dec) 2 6 3" xfId="37"/>
    <cellStyle name="1000-sep (2 dec) 2 6 3 2" xfId="241"/>
    <cellStyle name="1000-sep (2 dec) 2 6 4" xfId="239"/>
    <cellStyle name="1000-sep (2 dec) 2 7" xfId="38"/>
    <cellStyle name="1000-sep (2 dec) 2 7 2" xfId="242"/>
    <cellStyle name="1000-sep (2 dec) 2 8" xfId="39"/>
    <cellStyle name="1000-sep (2 dec) 2 8 2" xfId="243"/>
    <cellStyle name="1000-sep (2 dec) 2 9" xfId="40"/>
    <cellStyle name="1000-sep (2 dec) 2 9 2" xfId="244"/>
    <cellStyle name="1000-sep (2 dec) 3" xfId="41"/>
    <cellStyle name="1000-sep (2 dec) 3 2" xfId="42"/>
    <cellStyle name="1000-sep (2 dec) 3 2 2" xfId="43"/>
    <cellStyle name="1000-sep (2 dec) 3 2 2 2" xfId="44"/>
    <cellStyle name="1000-sep (2 dec) 3 2 2 2 2" xfId="248"/>
    <cellStyle name="1000-sep (2 dec) 3 2 2 3" xfId="45"/>
    <cellStyle name="1000-sep (2 dec) 3 2 2 3 2" xfId="249"/>
    <cellStyle name="1000-sep (2 dec) 3 2 2 4" xfId="247"/>
    <cellStyle name="1000-sep (2 dec) 3 2 3" xfId="46"/>
    <cellStyle name="1000-sep (2 dec) 3 2 3 2" xfId="47"/>
    <cellStyle name="1000-sep (2 dec) 3 2 3 2 2" xfId="251"/>
    <cellStyle name="1000-sep (2 dec) 3 2 3 3" xfId="48"/>
    <cellStyle name="1000-sep (2 dec) 3 2 3 3 2" xfId="252"/>
    <cellStyle name="1000-sep (2 dec) 3 2 3 4" xfId="250"/>
    <cellStyle name="1000-sep (2 dec) 3 2 4" xfId="49"/>
    <cellStyle name="1000-sep (2 dec) 3 2 4 2" xfId="50"/>
    <cellStyle name="1000-sep (2 dec) 3 2 4 2 2" xfId="254"/>
    <cellStyle name="1000-sep (2 dec) 3 2 4 3" xfId="51"/>
    <cellStyle name="1000-sep (2 dec) 3 2 4 3 2" xfId="255"/>
    <cellStyle name="1000-sep (2 dec) 3 2 4 4" xfId="253"/>
    <cellStyle name="1000-sep (2 dec) 3 2 5" xfId="52"/>
    <cellStyle name="1000-sep (2 dec) 3 2 5 2" xfId="53"/>
    <cellStyle name="1000-sep (2 dec) 3 2 5 2 2" xfId="257"/>
    <cellStyle name="1000-sep (2 dec) 3 2 5 3" xfId="54"/>
    <cellStyle name="1000-sep (2 dec) 3 2 5 3 2" xfId="258"/>
    <cellStyle name="1000-sep (2 dec) 3 2 5 4" xfId="256"/>
    <cellStyle name="1000-sep (2 dec) 3 2 6" xfId="55"/>
    <cellStyle name="1000-sep (2 dec) 3 2 6 2" xfId="259"/>
    <cellStyle name="1000-sep (2 dec) 3 2 7" xfId="56"/>
    <cellStyle name="1000-sep (2 dec) 3 2 7 2" xfId="260"/>
    <cellStyle name="1000-sep (2 dec) 3 2 8" xfId="246"/>
    <cellStyle name="1000-sep (2 dec) 3 3" xfId="57"/>
    <cellStyle name="1000-sep (2 dec) 3 3 2" xfId="58"/>
    <cellStyle name="1000-sep (2 dec) 3 3 2 2" xfId="262"/>
    <cellStyle name="1000-sep (2 dec) 3 3 3" xfId="59"/>
    <cellStyle name="1000-sep (2 dec) 3 3 3 2" xfId="263"/>
    <cellStyle name="1000-sep (2 dec) 3 3 4" xfId="261"/>
    <cellStyle name="1000-sep (2 dec) 3 4" xfId="60"/>
    <cellStyle name="1000-sep (2 dec) 3 4 2" xfId="61"/>
    <cellStyle name="1000-sep (2 dec) 3 4 2 2" xfId="265"/>
    <cellStyle name="1000-sep (2 dec) 3 4 3" xfId="62"/>
    <cellStyle name="1000-sep (2 dec) 3 4 3 2" xfId="266"/>
    <cellStyle name="1000-sep (2 dec) 3 4 4" xfId="264"/>
    <cellStyle name="1000-sep (2 dec) 3 5" xfId="63"/>
    <cellStyle name="1000-sep (2 dec) 3 5 2" xfId="64"/>
    <cellStyle name="1000-sep (2 dec) 3 5 2 2" xfId="268"/>
    <cellStyle name="1000-sep (2 dec) 3 5 3" xfId="65"/>
    <cellStyle name="1000-sep (2 dec) 3 5 3 2" xfId="269"/>
    <cellStyle name="1000-sep (2 dec) 3 5 4" xfId="267"/>
    <cellStyle name="1000-sep (2 dec) 3 6" xfId="66"/>
    <cellStyle name="1000-sep (2 dec) 3 6 2" xfId="67"/>
    <cellStyle name="1000-sep (2 dec) 3 6 2 2" xfId="271"/>
    <cellStyle name="1000-sep (2 dec) 3 6 3" xfId="68"/>
    <cellStyle name="1000-sep (2 dec) 3 6 3 2" xfId="272"/>
    <cellStyle name="1000-sep (2 dec) 3 6 4" xfId="270"/>
    <cellStyle name="1000-sep (2 dec) 3 7" xfId="69"/>
    <cellStyle name="1000-sep (2 dec) 3 7 2" xfId="273"/>
    <cellStyle name="1000-sep (2 dec) 3 8" xfId="70"/>
    <cellStyle name="1000-sep (2 dec) 3 8 2" xfId="274"/>
    <cellStyle name="1000-sep (2 dec) 3 9" xfId="245"/>
    <cellStyle name="1000-sep (2 dec) 4" xfId="71"/>
    <cellStyle name="1000-sep (2 dec) 4 2" xfId="72"/>
    <cellStyle name="1000-sep (2 dec) 4 2 2" xfId="73"/>
    <cellStyle name="1000-sep (2 dec) 4 2 2 2" xfId="74"/>
    <cellStyle name="1000-sep (2 dec) 4 2 2 2 2" xfId="278"/>
    <cellStyle name="1000-sep (2 dec) 4 2 2 3" xfId="75"/>
    <cellStyle name="1000-sep (2 dec) 4 2 2 3 2" xfId="279"/>
    <cellStyle name="1000-sep (2 dec) 4 2 2 4" xfId="277"/>
    <cellStyle name="1000-sep (2 dec) 4 2 3" xfId="76"/>
    <cellStyle name="1000-sep (2 dec) 4 2 3 2" xfId="77"/>
    <cellStyle name="1000-sep (2 dec) 4 2 3 2 2" xfId="281"/>
    <cellStyle name="1000-sep (2 dec) 4 2 3 3" xfId="78"/>
    <cellStyle name="1000-sep (2 dec) 4 2 3 3 2" xfId="282"/>
    <cellStyle name="1000-sep (2 dec) 4 2 3 4" xfId="280"/>
    <cellStyle name="1000-sep (2 dec) 4 2 4" xfId="79"/>
    <cellStyle name="1000-sep (2 dec) 4 2 4 2" xfId="80"/>
    <cellStyle name="1000-sep (2 dec) 4 2 4 2 2" xfId="284"/>
    <cellStyle name="1000-sep (2 dec) 4 2 4 3" xfId="81"/>
    <cellStyle name="1000-sep (2 dec) 4 2 4 3 2" xfId="285"/>
    <cellStyle name="1000-sep (2 dec) 4 2 4 4" xfId="283"/>
    <cellStyle name="1000-sep (2 dec) 4 2 5" xfId="82"/>
    <cellStyle name="1000-sep (2 dec) 4 2 5 2" xfId="83"/>
    <cellStyle name="1000-sep (2 dec) 4 2 5 2 2" xfId="287"/>
    <cellStyle name="1000-sep (2 dec) 4 2 5 3" xfId="84"/>
    <cellStyle name="1000-sep (2 dec) 4 2 5 3 2" xfId="288"/>
    <cellStyle name="1000-sep (2 dec) 4 2 5 4" xfId="286"/>
    <cellStyle name="1000-sep (2 dec) 4 2 6" xfId="85"/>
    <cellStyle name="1000-sep (2 dec) 4 2 6 2" xfId="289"/>
    <cellStyle name="1000-sep (2 dec) 4 2 7" xfId="86"/>
    <cellStyle name="1000-sep (2 dec) 4 2 7 2" xfId="290"/>
    <cellStyle name="1000-sep (2 dec) 4 2 8" xfId="276"/>
    <cellStyle name="1000-sep (2 dec) 4 3" xfId="87"/>
    <cellStyle name="1000-sep (2 dec) 4 3 2" xfId="88"/>
    <cellStyle name="1000-sep (2 dec) 4 3 2 2" xfId="292"/>
    <cellStyle name="1000-sep (2 dec) 4 3 3" xfId="89"/>
    <cellStyle name="1000-sep (2 dec) 4 3 3 2" xfId="293"/>
    <cellStyle name="1000-sep (2 dec) 4 3 4" xfId="291"/>
    <cellStyle name="1000-sep (2 dec) 4 4" xfId="90"/>
    <cellStyle name="1000-sep (2 dec) 4 4 2" xfId="91"/>
    <cellStyle name="1000-sep (2 dec) 4 4 2 2" xfId="295"/>
    <cellStyle name="1000-sep (2 dec) 4 4 3" xfId="92"/>
    <cellStyle name="1000-sep (2 dec) 4 4 3 2" xfId="296"/>
    <cellStyle name="1000-sep (2 dec) 4 4 4" xfId="294"/>
    <cellStyle name="1000-sep (2 dec) 4 5" xfId="93"/>
    <cellStyle name="1000-sep (2 dec) 4 5 2" xfId="94"/>
    <cellStyle name="1000-sep (2 dec) 4 5 2 2" xfId="298"/>
    <cellStyle name="1000-sep (2 dec) 4 5 3" xfId="95"/>
    <cellStyle name="1000-sep (2 dec) 4 5 3 2" xfId="299"/>
    <cellStyle name="1000-sep (2 dec) 4 5 4" xfId="297"/>
    <cellStyle name="1000-sep (2 dec) 4 6" xfId="96"/>
    <cellStyle name="1000-sep (2 dec) 4 6 2" xfId="97"/>
    <cellStyle name="1000-sep (2 dec) 4 6 2 2" xfId="301"/>
    <cellStyle name="1000-sep (2 dec) 4 6 3" xfId="98"/>
    <cellStyle name="1000-sep (2 dec) 4 6 3 2" xfId="302"/>
    <cellStyle name="1000-sep (2 dec) 4 6 4" xfId="300"/>
    <cellStyle name="1000-sep (2 dec) 4 7" xfId="99"/>
    <cellStyle name="1000-sep (2 dec) 4 7 2" xfId="303"/>
    <cellStyle name="1000-sep (2 dec) 4 8" xfId="100"/>
    <cellStyle name="1000-sep (2 dec) 4 8 2" xfId="304"/>
    <cellStyle name="1000-sep (2 dec) 4 9" xfId="275"/>
    <cellStyle name="1000-sep (2 dec) 5" xfId="101"/>
    <cellStyle name="1000-sep (2 dec) 5 2" xfId="102"/>
    <cellStyle name="1000-sep (2 dec) 5 2 2" xfId="103"/>
    <cellStyle name="1000-sep (2 dec) 5 2 2 2" xfId="104"/>
    <cellStyle name="1000-sep (2 dec) 5 2 2 2 2" xfId="308"/>
    <cellStyle name="1000-sep (2 dec) 5 2 2 3" xfId="105"/>
    <cellStyle name="1000-sep (2 dec) 5 2 2 3 2" xfId="309"/>
    <cellStyle name="1000-sep (2 dec) 5 2 2 4" xfId="307"/>
    <cellStyle name="1000-sep (2 dec) 5 2 3" xfId="106"/>
    <cellStyle name="1000-sep (2 dec) 5 2 3 2" xfId="107"/>
    <cellStyle name="1000-sep (2 dec) 5 2 3 2 2" xfId="311"/>
    <cellStyle name="1000-sep (2 dec) 5 2 3 3" xfId="108"/>
    <cellStyle name="1000-sep (2 dec) 5 2 3 3 2" xfId="312"/>
    <cellStyle name="1000-sep (2 dec) 5 2 3 4" xfId="310"/>
    <cellStyle name="1000-sep (2 dec) 5 2 4" xfId="109"/>
    <cellStyle name="1000-sep (2 dec) 5 2 4 2" xfId="110"/>
    <cellStyle name="1000-sep (2 dec) 5 2 4 2 2" xfId="314"/>
    <cellStyle name="1000-sep (2 dec) 5 2 4 3" xfId="111"/>
    <cellStyle name="1000-sep (2 dec) 5 2 4 3 2" xfId="315"/>
    <cellStyle name="1000-sep (2 dec) 5 2 4 4" xfId="313"/>
    <cellStyle name="1000-sep (2 dec) 5 2 5" xfId="112"/>
    <cellStyle name="1000-sep (2 dec) 5 2 5 2" xfId="113"/>
    <cellStyle name="1000-sep (2 dec) 5 2 5 2 2" xfId="317"/>
    <cellStyle name="1000-sep (2 dec) 5 2 5 3" xfId="114"/>
    <cellStyle name="1000-sep (2 dec) 5 2 5 3 2" xfId="318"/>
    <cellStyle name="1000-sep (2 dec) 5 2 5 4" xfId="316"/>
    <cellStyle name="1000-sep (2 dec) 5 2 6" xfId="115"/>
    <cellStyle name="1000-sep (2 dec) 5 2 6 2" xfId="319"/>
    <cellStyle name="1000-sep (2 dec) 5 2 7" xfId="116"/>
    <cellStyle name="1000-sep (2 dec) 5 2 7 2" xfId="320"/>
    <cellStyle name="1000-sep (2 dec) 5 2 8" xfId="306"/>
    <cellStyle name="1000-sep (2 dec) 5 3" xfId="117"/>
    <cellStyle name="1000-sep (2 dec) 5 3 2" xfId="118"/>
    <cellStyle name="1000-sep (2 dec) 5 3 2 2" xfId="322"/>
    <cellStyle name="1000-sep (2 dec) 5 3 3" xfId="119"/>
    <cellStyle name="1000-sep (2 dec) 5 3 3 2" xfId="323"/>
    <cellStyle name="1000-sep (2 dec) 5 3 4" xfId="321"/>
    <cellStyle name="1000-sep (2 dec) 5 4" xfId="120"/>
    <cellStyle name="1000-sep (2 dec) 5 4 2" xfId="121"/>
    <cellStyle name="1000-sep (2 dec) 5 4 2 2" xfId="325"/>
    <cellStyle name="1000-sep (2 dec) 5 4 3" xfId="122"/>
    <cellStyle name="1000-sep (2 dec) 5 4 3 2" xfId="326"/>
    <cellStyle name="1000-sep (2 dec) 5 4 4" xfId="324"/>
    <cellStyle name="1000-sep (2 dec) 5 5" xfId="123"/>
    <cellStyle name="1000-sep (2 dec) 5 5 2" xfId="124"/>
    <cellStyle name="1000-sep (2 dec) 5 5 2 2" xfId="328"/>
    <cellStyle name="1000-sep (2 dec) 5 5 3" xfId="125"/>
    <cellStyle name="1000-sep (2 dec) 5 5 3 2" xfId="329"/>
    <cellStyle name="1000-sep (2 dec) 5 5 4" xfId="327"/>
    <cellStyle name="1000-sep (2 dec) 5 6" xfId="126"/>
    <cellStyle name="1000-sep (2 dec) 5 6 2" xfId="127"/>
    <cellStyle name="1000-sep (2 dec) 5 6 2 2" xfId="331"/>
    <cellStyle name="1000-sep (2 dec) 5 6 3" xfId="128"/>
    <cellStyle name="1000-sep (2 dec) 5 6 3 2" xfId="332"/>
    <cellStyle name="1000-sep (2 dec) 5 6 4" xfId="330"/>
    <cellStyle name="1000-sep (2 dec) 5 7" xfId="129"/>
    <cellStyle name="1000-sep (2 dec) 5 7 2" xfId="333"/>
    <cellStyle name="1000-sep (2 dec) 5 8" xfId="130"/>
    <cellStyle name="1000-sep (2 dec) 5 8 2" xfId="334"/>
    <cellStyle name="1000-sep (2 dec) 5 9" xfId="305"/>
    <cellStyle name="1000-sep (2 dec) 6" xfId="131"/>
    <cellStyle name="1000-sep (2 dec) 6 2" xfId="132"/>
    <cellStyle name="1000-sep (2 dec) 6 2 2" xfId="133"/>
    <cellStyle name="1000-sep (2 dec) 6 2 2 2" xfId="134"/>
    <cellStyle name="1000-sep (2 dec) 6 2 2 2 2" xfId="338"/>
    <cellStyle name="1000-sep (2 dec) 6 2 2 3" xfId="135"/>
    <cellStyle name="1000-sep (2 dec) 6 2 2 3 2" xfId="339"/>
    <cellStyle name="1000-sep (2 dec) 6 2 2 4" xfId="337"/>
    <cellStyle name="1000-sep (2 dec) 6 2 3" xfId="136"/>
    <cellStyle name="1000-sep (2 dec) 6 2 3 2" xfId="137"/>
    <cellStyle name="1000-sep (2 dec) 6 2 3 2 2" xfId="341"/>
    <cellStyle name="1000-sep (2 dec) 6 2 3 3" xfId="138"/>
    <cellStyle name="1000-sep (2 dec) 6 2 3 3 2" xfId="342"/>
    <cellStyle name="1000-sep (2 dec) 6 2 3 4" xfId="340"/>
    <cellStyle name="1000-sep (2 dec) 6 2 4" xfId="139"/>
    <cellStyle name="1000-sep (2 dec) 6 2 4 2" xfId="140"/>
    <cellStyle name="1000-sep (2 dec) 6 2 4 2 2" xfId="344"/>
    <cellStyle name="1000-sep (2 dec) 6 2 4 3" xfId="141"/>
    <cellStyle name="1000-sep (2 dec) 6 2 4 3 2" xfId="345"/>
    <cellStyle name="1000-sep (2 dec) 6 2 4 4" xfId="343"/>
    <cellStyle name="1000-sep (2 dec) 6 2 5" xfId="142"/>
    <cellStyle name="1000-sep (2 dec) 6 2 5 2" xfId="143"/>
    <cellStyle name="1000-sep (2 dec) 6 2 5 2 2" xfId="347"/>
    <cellStyle name="1000-sep (2 dec) 6 2 5 3" xfId="144"/>
    <cellStyle name="1000-sep (2 dec) 6 2 5 3 2" xfId="348"/>
    <cellStyle name="1000-sep (2 dec) 6 2 5 4" xfId="346"/>
    <cellStyle name="1000-sep (2 dec) 6 2 6" xfId="145"/>
    <cellStyle name="1000-sep (2 dec) 6 2 6 2" xfId="349"/>
    <cellStyle name="1000-sep (2 dec) 6 2 7" xfId="146"/>
    <cellStyle name="1000-sep (2 dec) 6 2 7 2" xfId="350"/>
    <cellStyle name="1000-sep (2 dec) 6 2 8" xfId="336"/>
    <cellStyle name="1000-sep (2 dec) 6 3" xfId="147"/>
    <cellStyle name="1000-sep (2 dec) 6 3 2" xfId="148"/>
    <cellStyle name="1000-sep (2 dec) 6 3 2 2" xfId="352"/>
    <cellStyle name="1000-sep (2 dec) 6 3 3" xfId="149"/>
    <cellStyle name="1000-sep (2 dec) 6 3 3 2" xfId="353"/>
    <cellStyle name="1000-sep (2 dec) 6 3 4" xfId="351"/>
    <cellStyle name="1000-sep (2 dec) 6 4" xfId="150"/>
    <cellStyle name="1000-sep (2 dec) 6 4 2" xfId="151"/>
    <cellStyle name="1000-sep (2 dec) 6 4 2 2" xfId="355"/>
    <cellStyle name="1000-sep (2 dec) 6 4 3" xfId="152"/>
    <cellStyle name="1000-sep (2 dec) 6 4 3 2" xfId="356"/>
    <cellStyle name="1000-sep (2 dec) 6 4 4" xfId="354"/>
    <cellStyle name="1000-sep (2 dec) 6 5" xfId="153"/>
    <cellStyle name="1000-sep (2 dec) 6 5 2" xfId="154"/>
    <cellStyle name="1000-sep (2 dec) 6 5 2 2" xfId="358"/>
    <cellStyle name="1000-sep (2 dec) 6 5 3" xfId="155"/>
    <cellStyle name="1000-sep (2 dec) 6 5 3 2" xfId="359"/>
    <cellStyle name="1000-sep (2 dec) 6 5 4" xfId="357"/>
    <cellStyle name="1000-sep (2 dec) 6 6" xfId="156"/>
    <cellStyle name="1000-sep (2 dec) 6 6 2" xfId="157"/>
    <cellStyle name="1000-sep (2 dec) 6 6 2 2" xfId="361"/>
    <cellStyle name="1000-sep (2 dec) 6 6 3" xfId="158"/>
    <cellStyle name="1000-sep (2 dec) 6 6 3 2" xfId="362"/>
    <cellStyle name="1000-sep (2 dec) 6 6 4" xfId="360"/>
    <cellStyle name="1000-sep (2 dec) 6 7" xfId="159"/>
    <cellStyle name="1000-sep (2 dec) 6 7 2" xfId="363"/>
    <cellStyle name="1000-sep (2 dec) 6 8" xfId="160"/>
    <cellStyle name="1000-sep (2 dec) 6 8 2" xfId="364"/>
    <cellStyle name="1000-sep (2 dec) 6 9" xfId="335"/>
    <cellStyle name="1000-sep (2 dec) 7" xfId="161"/>
    <cellStyle name="1000-sep (2 dec) 7 2" xfId="162"/>
    <cellStyle name="1000-sep (2 dec) 7 2 2" xfId="163"/>
    <cellStyle name="1000-sep (2 dec) 7 2 2 2" xfId="367"/>
    <cellStyle name="1000-sep (2 dec) 7 2 3" xfId="164"/>
    <cellStyle name="1000-sep (2 dec) 7 2 3 2" xfId="368"/>
    <cellStyle name="1000-sep (2 dec) 7 2 4" xfId="366"/>
    <cellStyle name="1000-sep (2 dec) 7 3" xfId="165"/>
    <cellStyle name="1000-sep (2 dec) 7 3 2" xfId="166"/>
    <cellStyle name="1000-sep (2 dec) 7 3 2 2" xfId="370"/>
    <cellStyle name="1000-sep (2 dec) 7 3 3" xfId="167"/>
    <cellStyle name="1000-sep (2 dec) 7 3 3 2" xfId="371"/>
    <cellStyle name="1000-sep (2 dec) 7 3 4" xfId="369"/>
    <cellStyle name="1000-sep (2 dec) 7 4" xfId="168"/>
    <cellStyle name="1000-sep (2 dec) 7 4 2" xfId="169"/>
    <cellStyle name="1000-sep (2 dec) 7 4 2 2" xfId="373"/>
    <cellStyle name="1000-sep (2 dec) 7 4 3" xfId="170"/>
    <cellStyle name="1000-sep (2 dec) 7 4 3 2" xfId="374"/>
    <cellStyle name="1000-sep (2 dec) 7 4 4" xfId="372"/>
    <cellStyle name="1000-sep (2 dec) 7 5" xfId="171"/>
    <cellStyle name="1000-sep (2 dec) 7 5 2" xfId="172"/>
    <cellStyle name="1000-sep (2 dec) 7 5 2 2" xfId="376"/>
    <cellStyle name="1000-sep (2 dec) 7 5 3" xfId="173"/>
    <cellStyle name="1000-sep (2 dec) 7 5 3 2" xfId="377"/>
    <cellStyle name="1000-sep (2 dec) 7 5 4" xfId="375"/>
    <cellStyle name="1000-sep (2 dec) 7 6" xfId="174"/>
    <cellStyle name="1000-sep (2 dec) 7 6 2" xfId="378"/>
    <cellStyle name="1000-sep (2 dec) 7 7" xfId="175"/>
    <cellStyle name="1000-sep (2 dec) 7 7 2" xfId="379"/>
    <cellStyle name="1000-sep (2 dec) 7 8" xfId="365"/>
    <cellStyle name="1000-sep (2 dec) 8" xfId="176"/>
    <cellStyle name="1000-sep (2 dec) 8 2" xfId="177"/>
    <cellStyle name="1000-sep (2 dec) 8 2 2" xfId="381"/>
    <cellStyle name="1000-sep (2 dec) 8 3" xfId="178"/>
    <cellStyle name="1000-sep (2 dec) 8 3 2" xfId="382"/>
    <cellStyle name="1000-sep (2 dec) 8 4" xfId="380"/>
    <cellStyle name="1000-sep (2 dec) 9" xfId="179"/>
    <cellStyle name="1000-sep (2 dec) 9 2" xfId="180"/>
    <cellStyle name="1000-sep (2 dec) 9 2 2" xfId="384"/>
    <cellStyle name="1000-sep (2 dec) 9 3" xfId="181"/>
    <cellStyle name="1000-sep (2 dec) 9 3 2" xfId="385"/>
    <cellStyle name="1000-sep (2 dec) 9 4" xfId="383"/>
    <cellStyle name="Excel Built-in Comma" xfId="182"/>
    <cellStyle name="Excel Built-in Normal" xfId="183"/>
    <cellStyle name="Excel Built-in Normal 2" xfId="7"/>
    <cellStyle name="Heading" xfId="184"/>
    <cellStyle name="Heading1" xfId="185"/>
    <cellStyle name="Hyperlink 2" xfId="186"/>
    <cellStyle name="Hyperlink 2 2" xfId="187"/>
    <cellStyle name="Normal" xfId="0" builtinId="0"/>
    <cellStyle name="Normal 2" xfId="188"/>
    <cellStyle name="Normal 2 2" xfId="189"/>
    <cellStyle name="Normal 2 2 2" xfId="6"/>
    <cellStyle name="Normal 2 3" xfId="4"/>
    <cellStyle name="Normal 2 3 2" xfId="190"/>
    <cellStyle name="Normal 2 3 3" xfId="191"/>
    <cellStyle name="Normal 2 3 4" xfId="192"/>
    <cellStyle name="Normal 2 4" xfId="193"/>
    <cellStyle name="Normal 2 5" xfId="194"/>
    <cellStyle name="Normal 2 5 2" xfId="195"/>
    <cellStyle name="Normal 2 6" xfId="196"/>
    <cellStyle name="Normal 3" xfId="197"/>
    <cellStyle name="Normal 3 2" xfId="198"/>
    <cellStyle name="Normal 3 2 2" xfId="199"/>
    <cellStyle name="Normal 3 2 3" xfId="200"/>
    <cellStyle name="Normal 3 2 4" xfId="201"/>
    <cellStyle name="Normal 3 3" xfId="202"/>
    <cellStyle name="Normal 3 3 2" xfId="203"/>
    <cellStyle name="Normal 3 4" xfId="204"/>
    <cellStyle name="Normal 4" xfId="3"/>
    <cellStyle name="Normal 4 2" xfId="205"/>
    <cellStyle name="Normal 4 3" xfId="206"/>
    <cellStyle name="Normal 4 4" xfId="207"/>
    <cellStyle name="Normal 5" xfId="5"/>
    <cellStyle name="Result" xfId="208"/>
    <cellStyle name="Result2" xfId="2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dp/AppData/Local/Microsoft/Windows/Temporary%20Internet%20Files/Content.Outlook/IGFWN1B1/Fredericia%20Ordningen%202015%20ans&#248;gningsskema%202%20%20halv&#229;r%20-%20Bowlingklubben%20Pletten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j/AppData/Local/Temp/TRI6924/Konsekvensberegninger%20april%202016%20-%20med%20kombimodel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dericia Ordningen 2015 - ans"/>
      <sheetName val="Børneattest"/>
      <sheetName val="Kursustilskud"/>
      <sheetName val="Til beregning"/>
    </sheetNames>
    <sheetDataSet>
      <sheetData sheetId="0">
        <row r="4">
          <cell r="A4" t="str">
            <v>Bowlingklubben Pletten</v>
          </cell>
          <cell r="B4">
            <v>0</v>
          </cell>
        </row>
        <row r="10">
          <cell r="C10">
            <v>45</v>
          </cell>
        </row>
        <row r="11">
          <cell r="C11">
            <v>10</v>
          </cell>
        </row>
        <row r="21">
          <cell r="B21">
            <v>50</v>
          </cell>
          <cell r="C21">
            <v>0</v>
          </cell>
        </row>
        <row r="24">
          <cell r="B24">
            <v>650</v>
          </cell>
          <cell r="C24">
            <v>0</v>
          </cell>
        </row>
        <row r="25">
          <cell r="C25">
            <v>650</v>
          </cell>
        </row>
        <row r="34">
          <cell r="B34">
            <v>60</v>
          </cell>
        </row>
        <row r="36">
          <cell r="B36">
            <v>1980</v>
          </cell>
        </row>
        <row r="41">
          <cell r="D41">
            <v>2489.5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info"/>
      <sheetName val="Oversigt modeller"/>
      <sheetName val="Inde-hal-idræt"/>
      <sheetName val="Konsekvensberegninger"/>
      <sheetName val="Konsekvensberegninge (2)"/>
      <sheetName val="Konsekvensberegninge (3)"/>
      <sheetName val="Konsekvensberegninger (4)"/>
      <sheetName val="Konsekvensberegninger (5)"/>
      <sheetName val="Konsekvensberegninger (6)"/>
      <sheetName val="Konsekvensberegninger (7)"/>
      <sheetName val="Hovedforeninger"/>
      <sheetName val="Hovedfor. vægt."/>
      <sheetName val="Svømmetimetilskud"/>
      <sheetName val="Konsekvensberegninger (8)"/>
      <sheetName val="Hovedfor. vægt. (2)"/>
      <sheetName val="Konsekvensberegninge (9)"/>
      <sheetName val="Hovedfor. ens (3)"/>
      <sheetName val="Konsekvensberegninge (10)"/>
      <sheetName val="Ark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J4">
            <v>3142.1884340545612</v>
          </cell>
        </row>
        <row r="5">
          <cell r="J5">
            <v>44503.305890378826</v>
          </cell>
        </row>
        <row r="6">
          <cell r="J6">
            <v>2142.1181555980361</v>
          </cell>
        </row>
        <row r="7">
          <cell r="J7">
            <v>222.27385579555556</v>
          </cell>
        </row>
        <row r="8">
          <cell r="J8">
            <v>44071.367458789144</v>
          </cell>
        </row>
        <row r="11">
          <cell r="J11">
            <v>620.86349478739248</v>
          </cell>
        </row>
        <row r="12">
          <cell r="J12">
            <v>57.851439324133217</v>
          </cell>
        </row>
        <row r="13">
          <cell r="J13">
            <v>240.03127127233552</v>
          </cell>
        </row>
      </sheetData>
      <sheetData sheetId="13"/>
      <sheetData sheetId="14"/>
      <sheetData sheetId="15"/>
      <sheetData sheetId="16">
        <row r="6">
          <cell r="W6">
            <v>60</v>
          </cell>
        </row>
        <row r="11">
          <cell r="R11">
            <v>91590</v>
          </cell>
        </row>
        <row r="14">
          <cell r="W14">
            <v>440.969696969697</v>
          </cell>
        </row>
        <row r="15">
          <cell r="W15">
            <v>451.27272727272725</v>
          </cell>
        </row>
        <row r="21">
          <cell r="R21">
            <v>379140</v>
          </cell>
        </row>
        <row r="24">
          <cell r="W24">
            <v>1218.969696969697</v>
          </cell>
        </row>
        <row r="30">
          <cell r="I30">
            <v>18000</v>
          </cell>
          <cell r="R30">
            <v>165714</v>
          </cell>
        </row>
        <row r="33">
          <cell r="W33">
            <v>223</v>
          </cell>
        </row>
        <row r="34">
          <cell r="W34">
            <v>400</v>
          </cell>
        </row>
        <row r="40">
          <cell r="R40">
            <v>50055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tabSelected="1" workbookViewId="0">
      <selection activeCell="B1" sqref="B1"/>
    </sheetView>
  </sheetViews>
  <sheetFormatPr defaultRowHeight="15"/>
  <cols>
    <col min="2" max="2" width="36.140625" customWidth="1"/>
    <col min="3" max="3" width="11.140625" customWidth="1"/>
    <col min="4" max="4" width="15.5703125" customWidth="1"/>
    <col min="5" max="5" width="13.28515625" customWidth="1"/>
    <col min="6" max="6" width="11.5703125" customWidth="1"/>
    <col min="7" max="7" width="10.7109375" customWidth="1"/>
    <col min="8" max="8" width="11.28515625" customWidth="1"/>
    <col min="9" max="9" width="11.42578125" customWidth="1"/>
  </cols>
  <sheetData>
    <row r="3" spans="2:8">
      <c r="B3" s="51" t="s">
        <v>160</v>
      </c>
    </row>
    <row r="4" spans="2:8" ht="30">
      <c r="B4" s="119" t="s">
        <v>164</v>
      </c>
      <c r="C4" s="119" t="s">
        <v>161</v>
      </c>
      <c r="D4" s="119" t="s">
        <v>169</v>
      </c>
      <c r="E4" s="121" t="s">
        <v>176</v>
      </c>
      <c r="F4" s="119" t="s">
        <v>170</v>
      </c>
    </row>
    <row r="5" spans="2:8">
      <c r="B5" s="10" t="s">
        <v>140</v>
      </c>
      <c r="C5" s="10"/>
      <c r="D5" s="10"/>
      <c r="E5" s="11">
        <f>'Konsekvensberegninge (10)'!I91</f>
        <v>279000</v>
      </c>
      <c r="F5" s="10"/>
    </row>
    <row r="6" spans="2:8">
      <c r="B6" s="10" t="s">
        <v>163</v>
      </c>
      <c r="C6" s="10"/>
      <c r="D6" s="10"/>
      <c r="E6" s="11">
        <f>'Konsekvensberegninge (10)'!R91</f>
        <v>1817955</v>
      </c>
      <c r="F6" s="10"/>
    </row>
    <row r="7" spans="2:8">
      <c r="B7" s="10" t="s">
        <v>158</v>
      </c>
      <c r="C7" s="116">
        <v>0.7</v>
      </c>
      <c r="D7" s="11">
        <f>0.7*C10</f>
        <v>2128000</v>
      </c>
      <c r="E7" s="11">
        <f>E5+E6</f>
        <v>2096955</v>
      </c>
      <c r="F7" s="55">
        <f>D7-E7</f>
        <v>31045</v>
      </c>
    </row>
    <row r="8" spans="2:8">
      <c r="B8" s="10" t="s">
        <v>159</v>
      </c>
      <c r="C8" s="116">
        <v>0.3</v>
      </c>
      <c r="D8" s="11">
        <f>0.3*C10</f>
        <v>912000</v>
      </c>
      <c r="E8" s="11">
        <f>D8</f>
        <v>912000</v>
      </c>
      <c r="F8" s="55">
        <f>D8-E8</f>
        <v>0</v>
      </c>
    </row>
    <row r="9" spans="2:8">
      <c r="B9" s="10"/>
      <c r="C9" s="10"/>
      <c r="D9" s="11"/>
      <c r="E9" s="11"/>
      <c r="F9" s="10"/>
    </row>
    <row r="10" spans="2:8">
      <c r="B10" s="74" t="s">
        <v>101</v>
      </c>
      <c r="C10" s="117">
        <v>3040000</v>
      </c>
      <c r="D10" s="11">
        <f>SUM(D7:D9)</f>
        <v>3040000</v>
      </c>
      <c r="E10" s="118">
        <f>E7+E8</f>
        <v>3008955</v>
      </c>
      <c r="F10" s="55">
        <f>D10-E10</f>
        <v>31045</v>
      </c>
    </row>
    <row r="11" spans="2:8" s="183" customFormat="1">
      <c r="B11" s="182"/>
      <c r="C11" s="181"/>
      <c r="D11" s="85"/>
      <c r="E11" s="180"/>
      <c r="F11" s="179"/>
    </row>
    <row r="13" spans="2:8">
      <c r="B13" s="119" t="s">
        <v>168</v>
      </c>
      <c r="C13" s="119" t="s">
        <v>175</v>
      </c>
      <c r="D13" s="119" t="s">
        <v>162</v>
      </c>
      <c r="E13" s="119" t="s">
        <v>171</v>
      </c>
      <c r="F13" s="119" t="s">
        <v>172</v>
      </c>
      <c r="G13" s="119" t="s">
        <v>173</v>
      </c>
      <c r="H13" s="119" t="s">
        <v>174</v>
      </c>
    </row>
    <row r="14" spans="2:8" ht="30">
      <c r="B14" s="72" t="s">
        <v>165</v>
      </c>
      <c r="C14" s="91">
        <v>80000</v>
      </c>
      <c r="D14" s="91">
        <v>80000</v>
      </c>
      <c r="E14" s="11">
        <f>0.8*C14</f>
        <v>64000</v>
      </c>
      <c r="F14" s="11">
        <f>0.6*C14</f>
        <v>48000</v>
      </c>
      <c r="G14" s="11">
        <f>0.4*C14</f>
        <v>32000</v>
      </c>
      <c r="H14" s="11">
        <f>0.2*C14</f>
        <v>16000</v>
      </c>
    </row>
    <row r="15" spans="2:8">
      <c r="B15" s="10" t="s">
        <v>166</v>
      </c>
      <c r="C15" s="91">
        <v>95000</v>
      </c>
      <c r="D15" s="91">
        <v>95000</v>
      </c>
      <c r="E15" s="17">
        <f>0.8*C15</f>
        <v>76000</v>
      </c>
      <c r="F15" s="11">
        <f>0.6*C15</f>
        <v>57000</v>
      </c>
      <c r="G15" s="11">
        <f>0.4*C15</f>
        <v>38000</v>
      </c>
      <c r="H15" s="11">
        <f>0.2*C15</f>
        <v>19000</v>
      </c>
    </row>
    <row r="16" spans="2:8">
      <c r="B16" s="10" t="s">
        <v>167</v>
      </c>
      <c r="C16" s="91">
        <v>200000</v>
      </c>
      <c r="D16" s="91">
        <v>200000</v>
      </c>
      <c r="E16" s="11">
        <f>0.8*C16</f>
        <v>160000</v>
      </c>
      <c r="F16" s="11">
        <f>0.6*C16</f>
        <v>120000</v>
      </c>
      <c r="G16" s="11">
        <f>0.4*C16</f>
        <v>80000</v>
      </c>
      <c r="H16" s="11">
        <f>0.2*C16</f>
        <v>40000</v>
      </c>
    </row>
    <row r="17" spans="2:8">
      <c r="B17" s="10"/>
      <c r="C17" s="10"/>
      <c r="D17" s="10"/>
      <c r="E17" s="11"/>
      <c r="F17" s="11"/>
      <c r="G17" s="11"/>
      <c r="H17" s="11"/>
    </row>
    <row r="18" spans="2:8">
      <c r="B18" s="74" t="s">
        <v>101</v>
      </c>
      <c r="C18" s="120">
        <f t="shared" ref="C18:H18" si="0">SUM(C14:C17)</f>
        <v>375000</v>
      </c>
      <c r="D18" s="120">
        <f t="shared" si="0"/>
        <v>375000</v>
      </c>
      <c r="E18" s="118">
        <f t="shared" si="0"/>
        <v>300000</v>
      </c>
      <c r="F18" s="118">
        <f t="shared" si="0"/>
        <v>225000</v>
      </c>
      <c r="G18" s="118">
        <f t="shared" si="0"/>
        <v>150000</v>
      </c>
      <c r="H18" s="118">
        <f t="shared" si="0"/>
        <v>75000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U105"/>
  <sheetViews>
    <sheetView topLeftCell="A82" zoomScaleNormal="100" workbookViewId="0">
      <pane xSplit="1" topLeftCell="B1" activePane="topRight" state="frozen"/>
      <selection pane="topRight" activeCell="AP2" sqref="AP2"/>
    </sheetView>
  </sheetViews>
  <sheetFormatPr defaultColWidth="75.140625" defaultRowHeight="15"/>
  <cols>
    <col min="1" max="1" width="42.85546875" customWidth="1"/>
    <col min="2" max="3" width="11.85546875" customWidth="1"/>
    <col min="4" max="4" width="11.28515625" customWidth="1"/>
    <col min="5" max="5" width="12" customWidth="1"/>
    <col min="6" max="6" width="15" customWidth="1"/>
    <col min="7" max="7" width="13.7109375" customWidth="1"/>
    <col min="8" max="8" width="11.7109375" customWidth="1"/>
    <col min="9" max="9" width="9.42578125" customWidth="1"/>
    <col min="10" max="10" width="10.5703125" customWidth="1"/>
    <col min="11" max="11" width="19.5703125" customWidth="1"/>
    <col min="12" max="12" width="11.5703125" customWidth="1"/>
    <col min="13" max="13" width="16.140625" customWidth="1"/>
    <col min="14" max="14" width="9.85546875" customWidth="1"/>
    <col min="15" max="15" width="15.7109375" customWidth="1"/>
    <col min="16" max="16" width="14.140625" customWidth="1"/>
    <col min="17" max="17" width="13.85546875" customWidth="1"/>
    <col min="18" max="18" width="15.85546875" style="44" customWidth="1"/>
    <col min="19" max="19" width="12.85546875" style="44" customWidth="1"/>
    <col min="20" max="20" width="19.5703125" customWidth="1"/>
    <col min="21" max="22" width="11.42578125" customWidth="1"/>
    <col min="23" max="23" width="14" customWidth="1"/>
    <col min="24" max="24" width="14" hidden="1" customWidth="1"/>
    <col min="25" max="25" width="12.7109375" customWidth="1"/>
    <col min="26" max="26" width="15.28515625" customWidth="1"/>
    <col min="27" max="27" width="14.5703125" customWidth="1"/>
    <col min="28" max="28" width="15.42578125" customWidth="1"/>
    <col min="29" max="29" width="13.42578125" style="44" customWidth="1"/>
    <col min="30" max="30" width="15.42578125" style="44" customWidth="1"/>
    <col min="31" max="31" width="11.85546875" style="44" customWidth="1"/>
    <col min="32" max="33" width="15.42578125" style="44" customWidth="1"/>
    <col min="34" max="34" width="15.5703125" customWidth="1"/>
    <col min="35" max="35" width="20.28515625" customWidth="1"/>
    <col min="36" max="36" width="21.5703125" customWidth="1"/>
    <col min="37" max="37" width="22.7109375" hidden="1" customWidth="1"/>
    <col min="38" max="38" width="40.42578125" hidden="1" customWidth="1"/>
    <col min="39" max="41" width="13.5703125" customWidth="1"/>
    <col min="42" max="42" width="17.85546875" style="16" customWidth="1"/>
    <col min="43" max="43" width="12.7109375" style="16" customWidth="1"/>
    <col min="44" max="44" width="17.85546875" style="16" customWidth="1"/>
    <col min="45" max="45" width="13.5703125" style="16" customWidth="1"/>
    <col min="46" max="46" width="27" style="16" customWidth="1"/>
    <col min="47" max="47" width="18.28515625" style="16" customWidth="1"/>
  </cols>
  <sheetData>
    <row r="1" spans="1:47" ht="120">
      <c r="A1" s="87" t="s">
        <v>0</v>
      </c>
      <c r="B1" s="1" t="s">
        <v>1</v>
      </c>
      <c r="C1" s="1" t="s">
        <v>2</v>
      </c>
      <c r="D1" s="2" t="s">
        <v>3</v>
      </c>
      <c r="E1" s="1" t="s">
        <v>153</v>
      </c>
      <c r="F1" s="1" t="s">
        <v>180</v>
      </c>
      <c r="G1" s="1" t="s">
        <v>181</v>
      </c>
      <c r="H1" s="90" t="s">
        <v>4</v>
      </c>
      <c r="I1" s="3" t="s">
        <v>154</v>
      </c>
      <c r="J1" s="4" t="s">
        <v>155</v>
      </c>
      <c r="K1" s="1" t="s">
        <v>7</v>
      </c>
      <c r="L1" s="1"/>
      <c r="M1" s="1"/>
      <c r="N1" s="1"/>
      <c r="O1" s="1" t="s">
        <v>182</v>
      </c>
      <c r="P1" s="1" t="s">
        <v>183</v>
      </c>
      <c r="Q1" s="90" t="s">
        <v>10</v>
      </c>
      <c r="R1" s="3" t="s">
        <v>11</v>
      </c>
      <c r="S1" s="4" t="s">
        <v>12</v>
      </c>
      <c r="T1" s="1" t="s">
        <v>13</v>
      </c>
      <c r="U1" s="1" t="s">
        <v>14</v>
      </c>
      <c r="V1" s="1" t="s">
        <v>15</v>
      </c>
      <c r="W1" s="90" t="s">
        <v>16</v>
      </c>
      <c r="X1" s="2" t="s">
        <v>17</v>
      </c>
      <c r="Y1" s="5" t="s">
        <v>18</v>
      </c>
      <c r="Z1" s="1" t="s">
        <v>184</v>
      </c>
      <c r="AA1" s="1" t="s">
        <v>19</v>
      </c>
      <c r="AB1" s="90" t="s">
        <v>20</v>
      </c>
      <c r="AC1" s="99" t="s">
        <v>157</v>
      </c>
      <c r="AD1" s="106" t="s">
        <v>21</v>
      </c>
      <c r="AE1" s="102" t="s">
        <v>22</v>
      </c>
      <c r="AF1" s="6" t="s">
        <v>23</v>
      </c>
      <c r="AG1" s="97" t="s">
        <v>156</v>
      </c>
      <c r="AH1" s="1" t="s">
        <v>24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30</v>
      </c>
      <c r="AO1" s="1" t="s">
        <v>31</v>
      </c>
      <c r="AP1" s="7"/>
      <c r="AQ1" s="7"/>
      <c r="AR1" s="7"/>
      <c r="AS1" s="7"/>
      <c r="AT1" s="7"/>
      <c r="AU1" s="8"/>
    </row>
    <row r="2" spans="1:47" ht="18.75">
      <c r="A2" s="88" t="s">
        <v>32</v>
      </c>
      <c r="B2" s="10"/>
      <c r="C2" s="10"/>
      <c r="D2" s="11"/>
      <c r="E2" s="10"/>
      <c r="F2" s="10"/>
      <c r="G2" s="10"/>
      <c r="H2" s="10"/>
      <c r="I2" s="120">
        <v>3000</v>
      </c>
      <c r="J2" s="10"/>
      <c r="K2" s="74" t="s">
        <v>33</v>
      </c>
      <c r="L2" s="74" t="s">
        <v>34</v>
      </c>
      <c r="M2" s="74" t="s">
        <v>35</v>
      </c>
      <c r="N2" s="74" t="s">
        <v>34</v>
      </c>
      <c r="O2" s="74" t="s">
        <v>36</v>
      </c>
      <c r="P2" s="10"/>
      <c r="Q2" s="10"/>
      <c r="R2" s="151">
        <v>213</v>
      </c>
      <c r="S2" s="12"/>
      <c r="T2" s="74" t="s">
        <v>37</v>
      </c>
      <c r="U2" s="74" t="s">
        <v>34</v>
      </c>
      <c r="V2" s="74" t="s">
        <v>34</v>
      </c>
      <c r="W2" s="74" t="s">
        <v>34</v>
      </c>
      <c r="X2" s="10"/>
      <c r="Y2" s="74">
        <v>1</v>
      </c>
      <c r="Z2" s="74" t="s">
        <v>34</v>
      </c>
      <c r="AA2" s="10"/>
      <c r="AB2" s="10"/>
      <c r="AC2" s="73"/>
      <c r="AD2" s="107"/>
      <c r="AE2" s="68"/>
      <c r="AF2" s="12"/>
      <c r="AG2" s="98">
        <v>200000</v>
      </c>
      <c r="AH2" s="10"/>
      <c r="AI2" s="10"/>
      <c r="AJ2" s="10"/>
      <c r="AK2" s="10"/>
      <c r="AL2" s="10"/>
      <c r="AM2" s="14"/>
      <c r="AN2" s="14"/>
      <c r="AO2" s="14"/>
      <c r="AP2" s="15"/>
      <c r="AQ2" s="15"/>
      <c r="AR2" s="15"/>
      <c r="AS2" s="15"/>
    </row>
    <row r="3" spans="1:47">
      <c r="A3" s="12" t="s">
        <v>38</v>
      </c>
      <c r="B3" s="17">
        <v>139</v>
      </c>
      <c r="C3" s="12">
        <v>139</v>
      </c>
      <c r="D3" s="17">
        <v>73</v>
      </c>
      <c r="E3" s="18">
        <v>52.517985611510788</v>
      </c>
      <c r="F3" s="18">
        <v>2490</v>
      </c>
      <c r="G3" s="17">
        <v>2490</v>
      </c>
      <c r="H3" s="17">
        <f>F3+G3</f>
        <v>4980</v>
      </c>
      <c r="I3" s="17">
        <v>3000</v>
      </c>
      <c r="J3" s="17">
        <f>I3-H3</f>
        <v>-1980</v>
      </c>
      <c r="K3" s="12">
        <v>352</v>
      </c>
      <c r="L3" s="18">
        <v>4576</v>
      </c>
      <c r="M3" s="18">
        <v>56</v>
      </c>
      <c r="N3" s="18">
        <v>173.6</v>
      </c>
      <c r="O3" s="18">
        <v>4749.6000000000004</v>
      </c>
      <c r="P3" s="18">
        <v>4749.6000000000004</v>
      </c>
      <c r="Q3" s="18">
        <f>O3+P3</f>
        <v>9499.2000000000007</v>
      </c>
      <c r="R3" s="17">
        <f>213*D3</f>
        <v>15549</v>
      </c>
      <c r="S3" s="18">
        <f>R3-Q3</f>
        <v>6049.7999999999993</v>
      </c>
      <c r="T3" s="18">
        <v>298</v>
      </c>
      <c r="U3" s="18">
        <v>0</v>
      </c>
      <c r="V3" s="19">
        <v>9834</v>
      </c>
      <c r="W3" s="19">
        <f>U3+V3</f>
        <v>9834</v>
      </c>
      <c r="X3" s="20">
        <f>W3/33</f>
        <v>298</v>
      </c>
      <c r="Y3" s="19">
        <f>-W3*Y2</f>
        <v>-9834</v>
      </c>
      <c r="Z3" s="12"/>
      <c r="AA3" s="21"/>
      <c r="AB3" s="18">
        <f>Z3+AA3</f>
        <v>0</v>
      </c>
      <c r="AC3" s="100">
        <f>-AB3</f>
        <v>0</v>
      </c>
      <c r="AD3" s="108">
        <f>J3+S3+Y3+AC3+AG3</f>
        <v>-1622.6953202580689</v>
      </c>
      <c r="AE3" s="103">
        <f>E3</f>
        <v>52.517985611510788</v>
      </c>
      <c r="AF3" s="22">
        <f>X3*AE3/100</f>
        <v>156.50359712230215</v>
      </c>
      <c r="AG3" s="22">
        <f>AF3*AG2/AF58</f>
        <v>4141.5046797419318</v>
      </c>
      <c r="AH3" s="24"/>
      <c r="AI3" s="24">
        <f t="shared" ref="AI3:AI34" si="0">U3+AH3</f>
        <v>0</v>
      </c>
      <c r="AJ3" s="24">
        <v>18788.900000000001</v>
      </c>
      <c r="AK3" s="24">
        <f>AI3-AJ3</f>
        <v>-18788.900000000001</v>
      </c>
      <c r="AL3" s="24"/>
      <c r="AM3" s="24"/>
      <c r="AN3" s="24"/>
      <c r="AO3" s="24">
        <f>AM3+AN3</f>
        <v>0</v>
      </c>
      <c r="AP3" s="15"/>
      <c r="AQ3" s="15"/>
      <c r="AR3" s="15"/>
      <c r="AS3" s="15"/>
    </row>
    <row r="4" spans="1:47">
      <c r="A4" s="10" t="str">
        <f>'[1]Fredericia Ordningen 2015 - ans'!A4:B4</f>
        <v>Bowlingklubben Pletten</v>
      </c>
      <c r="B4" s="11">
        <f>'[1]Fredericia Ordningen 2015 - ans'!C10</f>
        <v>45</v>
      </c>
      <c r="C4" s="12"/>
      <c r="D4" s="11">
        <f>'[1]Fredericia Ordningen 2015 - ans'!C11</f>
        <v>10</v>
      </c>
      <c r="E4" s="23">
        <f>D4/B4*100</f>
        <v>22.222222222222221</v>
      </c>
      <c r="F4" s="10">
        <f>'[1]Fredericia Ordningen 2015 - ans'!D41</f>
        <v>2489.5</v>
      </c>
      <c r="G4" s="17"/>
      <c r="H4" s="17">
        <f t="shared" ref="H4:H57" si="1">F4+G4</f>
        <v>2489.5</v>
      </c>
      <c r="I4" s="17">
        <v>3000</v>
      </c>
      <c r="J4" s="17">
        <f t="shared" ref="J4:J59" si="2">I4-H4</f>
        <v>510.5</v>
      </c>
      <c r="K4" s="12">
        <f>'[1]Fredericia Ordningen 2015 - ans'!B21</f>
        <v>50</v>
      </c>
      <c r="L4" s="12">
        <f>'[1]Fredericia Ordningen 2015 - ans'!B24</f>
        <v>650</v>
      </c>
      <c r="M4" s="12">
        <f>'[1]Fredericia Ordningen 2015 - ans'!C21</f>
        <v>0</v>
      </c>
      <c r="N4" s="12">
        <f>'[1]Fredericia Ordningen 2015 - ans'!C24</f>
        <v>0</v>
      </c>
      <c r="O4" s="12">
        <f>'[1]Fredericia Ordningen 2015 - ans'!C25</f>
        <v>650</v>
      </c>
      <c r="P4" s="18"/>
      <c r="Q4" s="18">
        <f t="shared" ref="Q4:Q57" si="3">O4+P4</f>
        <v>650</v>
      </c>
      <c r="R4" s="17">
        <f t="shared" ref="R4:R55" si="4">213*D4</f>
        <v>2130</v>
      </c>
      <c r="S4" s="18">
        <f t="shared" ref="S4:S57" si="5">R4-Q4</f>
        <v>1480</v>
      </c>
      <c r="T4" s="12">
        <f>'[1]Fredericia Ordningen 2015 - ans'!B34</f>
        <v>60</v>
      </c>
      <c r="U4" s="12">
        <f>'[1]Fredericia Ordningen 2015 - ans'!B36</f>
        <v>1980</v>
      </c>
      <c r="V4" s="19"/>
      <c r="W4" s="19">
        <f t="shared" ref="W4:W57" si="6">U4+V4</f>
        <v>1980</v>
      </c>
      <c r="X4" s="19"/>
      <c r="Y4" s="19">
        <f>-W4*Y2</f>
        <v>-1980</v>
      </c>
      <c r="Z4" s="10"/>
      <c r="AA4" s="21"/>
      <c r="AB4" s="18">
        <f t="shared" ref="AB4:AB57" si="7">Z4+AA4</f>
        <v>0</v>
      </c>
      <c r="AC4" s="100">
        <f t="shared" ref="AC4:AC57" si="8">-AB4</f>
        <v>0</v>
      </c>
      <c r="AD4" s="109">
        <f t="shared" ref="AD4:AD55" si="9">J4+S4+Y4+AC4</f>
        <v>10.5</v>
      </c>
      <c r="AE4" s="103"/>
      <c r="AF4" s="17"/>
      <c r="AG4" s="17"/>
      <c r="AH4" s="24">
        <f t="shared" ref="AH4:AH57" si="10">F4+O4</f>
        <v>3139.5</v>
      </c>
      <c r="AI4" s="24">
        <f t="shared" si="0"/>
        <v>5119.5</v>
      </c>
      <c r="AJ4" s="24">
        <v>0</v>
      </c>
      <c r="AK4" s="24">
        <f t="shared" ref="AK4:AK57" si="11">AI4-AJ4</f>
        <v>5119.5</v>
      </c>
      <c r="AL4" s="24" t="s">
        <v>39</v>
      </c>
      <c r="AM4" s="24"/>
      <c r="AN4" s="24"/>
      <c r="AO4" s="24">
        <f t="shared" ref="AO4:AO58" si="12">AM4+AN4</f>
        <v>0</v>
      </c>
      <c r="AP4" s="15"/>
      <c r="AQ4" s="15"/>
      <c r="AR4" s="15"/>
      <c r="AS4" s="15"/>
    </row>
    <row r="5" spans="1:47">
      <c r="A5" s="25" t="s">
        <v>40</v>
      </c>
      <c r="B5" s="26">
        <v>898</v>
      </c>
      <c r="C5" s="12">
        <v>354</v>
      </c>
      <c r="D5" s="26">
        <v>418</v>
      </c>
      <c r="E5" s="27">
        <v>46.547884187082403</v>
      </c>
      <c r="F5" s="25">
        <v>4980</v>
      </c>
      <c r="G5" s="17">
        <v>4980</v>
      </c>
      <c r="H5" s="17">
        <f t="shared" si="1"/>
        <v>9960</v>
      </c>
      <c r="I5" s="17">
        <f>3000*5</f>
        <v>15000</v>
      </c>
      <c r="J5" s="17">
        <f t="shared" si="2"/>
        <v>5040</v>
      </c>
      <c r="K5" s="128">
        <v>1777</v>
      </c>
      <c r="L5" s="128">
        <v>23101</v>
      </c>
      <c r="M5" s="128">
        <v>116</v>
      </c>
      <c r="N5" s="128">
        <v>359.6</v>
      </c>
      <c r="O5" s="128">
        <v>23460.6</v>
      </c>
      <c r="P5" s="18">
        <v>20880.2</v>
      </c>
      <c r="Q5" s="18">
        <f t="shared" si="3"/>
        <v>44340.800000000003</v>
      </c>
      <c r="R5" s="17">
        <f>'[2]Hovedfor. ens (3)'!R11</f>
        <v>91590</v>
      </c>
      <c r="S5" s="18">
        <f t="shared" si="5"/>
        <v>47249.2</v>
      </c>
      <c r="T5" s="128">
        <v>118</v>
      </c>
      <c r="U5" s="128">
        <v>3894</v>
      </c>
      <c r="V5" s="19">
        <v>5098.5</v>
      </c>
      <c r="W5" s="19">
        <f t="shared" si="6"/>
        <v>8992.5</v>
      </c>
      <c r="X5" s="28">
        <f>'[2]Hovedfor. ens (3)'!W6</f>
        <v>60</v>
      </c>
      <c r="Y5" s="19">
        <f>-W5*Y2</f>
        <v>-8992.5</v>
      </c>
      <c r="Z5" s="25"/>
      <c r="AA5" s="21">
        <v>0</v>
      </c>
      <c r="AB5" s="18">
        <f t="shared" si="7"/>
        <v>0</v>
      </c>
      <c r="AC5" s="100">
        <f t="shared" si="8"/>
        <v>0</v>
      </c>
      <c r="AD5" s="108">
        <f>J5+S5+Y5+AC5+AG5</f>
        <v>44035.769070887502</v>
      </c>
      <c r="AE5" s="103">
        <f>E5</f>
        <v>46.547884187082403</v>
      </c>
      <c r="AF5" s="22">
        <f>X5*AE5/100</f>
        <v>27.928730512249441</v>
      </c>
      <c r="AG5" s="22">
        <f>AF5*AG2/AF58</f>
        <v>739.06907088750552</v>
      </c>
      <c r="AH5" s="24">
        <f t="shared" si="10"/>
        <v>28440.6</v>
      </c>
      <c r="AI5" s="24">
        <f t="shared" si="0"/>
        <v>32334.6</v>
      </c>
      <c r="AJ5" s="24">
        <v>35143.800000000003</v>
      </c>
      <c r="AK5" s="24">
        <f t="shared" si="11"/>
        <v>-2809.2000000000044</v>
      </c>
      <c r="AL5" s="24" t="s">
        <v>41</v>
      </c>
      <c r="AM5" s="142">
        <v>78036.78</v>
      </c>
      <c r="AN5" s="24"/>
      <c r="AO5" s="24">
        <f t="shared" si="12"/>
        <v>78036.78</v>
      </c>
      <c r="AP5" s="15"/>
      <c r="AQ5" s="15"/>
      <c r="AR5" s="15"/>
      <c r="AS5" s="15"/>
    </row>
    <row r="6" spans="1:47">
      <c r="A6" s="12" t="s">
        <v>42</v>
      </c>
      <c r="B6" s="17">
        <v>120</v>
      </c>
      <c r="C6" s="10">
        <v>114</v>
      </c>
      <c r="D6" s="17">
        <v>12</v>
      </c>
      <c r="E6" s="18">
        <v>10</v>
      </c>
      <c r="F6" s="24">
        <v>2489.5</v>
      </c>
      <c r="G6" s="11">
        <v>2490</v>
      </c>
      <c r="H6" s="17">
        <f t="shared" si="1"/>
        <v>4979.5</v>
      </c>
      <c r="I6" s="17">
        <v>3000</v>
      </c>
      <c r="J6" s="17">
        <f t="shared" si="2"/>
        <v>-1979.5</v>
      </c>
      <c r="K6" s="24">
        <v>33</v>
      </c>
      <c r="L6" s="24">
        <v>429</v>
      </c>
      <c r="M6" s="24">
        <v>40</v>
      </c>
      <c r="N6" s="24">
        <v>124</v>
      </c>
      <c r="O6" s="24">
        <v>553</v>
      </c>
      <c r="P6" s="18">
        <v>583.29999999999995</v>
      </c>
      <c r="Q6" s="18">
        <f t="shared" si="3"/>
        <v>1136.3</v>
      </c>
      <c r="R6" s="17">
        <f t="shared" si="4"/>
        <v>2556</v>
      </c>
      <c r="S6" s="18">
        <f t="shared" si="5"/>
        <v>1419.7</v>
      </c>
      <c r="T6" s="24">
        <v>0</v>
      </c>
      <c r="U6" s="24">
        <v>0</v>
      </c>
      <c r="V6" s="12">
        <v>0</v>
      </c>
      <c r="W6" s="19">
        <f t="shared" si="6"/>
        <v>0</v>
      </c>
      <c r="X6" s="19"/>
      <c r="Y6" s="19">
        <f t="shared" ref="Y6:Y11" si="13">-W6</f>
        <v>0</v>
      </c>
      <c r="Z6" s="24"/>
      <c r="AA6" s="21"/>
      <c r="AB6" s="18">
        <f t="shared" si="7"/>
        <v>0</v>
      </c>
      <c r="AC6" s="100">
        <f t="shared" si="8"/>
        <v>0</v>
      </c>
      <c r="AD6" s="109">
        <f t="shared" si="9"/>
        <v>-559.79999999999995</v>
      </c>
      <c r="AE6" s="103"/>
      <c r="AF6" s="17"/>
      <c r="AG6" s="17"/>
      <c r="AH6" s="24">
        <f t="shared" si="10"/>
        <v>3042.5</v>
      </c>
      <c r="AI6" s="24">
        <f t="shared" si="0"/>
        <v>3042.5</v>
      </c>
      <c r="AJ6" s="24">
        <v>3149.5</v>
      </c>
      <c r="AK6" s="24">
        <f t="shared" si="11"/>
        <v>-107</v>
      </c>
      <c r="AL6" s="24" t="s">
        <v>43</v>
      </c>
      <c r="AM6" s="24"/>
      <c r="AN6" s="24"/>
      <c r="AO6" s="24">
        <f t="shared" si="12"/>
        <v>0</v>
      </c>
      <c r="AP6" s="15"/>
      <c r="AQ6" s="15"/>
      <c r="AR6" s="15"/>
      <c r="AS6" s="15"/>
    </row>
    <row r="7" spans="1:47">
      <c r="A7" s="12" t="s">
        <v>44</v>
      </c>
      <c r="B7" s="17">
        <v>86</v>
      </c>
      <c r="C7" s="12">
        <v>99</v>
      </c>
      <c r="D7" s="17">
        <v>74</v>
      </c>
      <c r="E7" s="18">
        <v>86.04651162790698</v>
      </c>
      <c r="F7" s="24">
        <v>2489.5</v>
      </c>
      <c r="G7" s="17">
        <v>2490</v>
      </c>
      <c r="H7" s="17">
        <f t="shared" si="1"/>
        <v>4979.5</v>
      </c>
      <c r="I7" s="17">
        <v>3000</v>
      </c>
      <c r="J7" s="17">
        <f t="shared" si="2"/>
        <v>-1979.5</v>
      </c>
      <c r="K7" s="24">
        <v>366</v>
      </c>
      <c r="L7" s="24">
        <v>4758</v>
      </c>
      <c r="M7" s="24">
        <v>48</v>
      </c>
      <c r="N7" s="24">
        <v>148.80000000000001</v>
      </c>
      <c r="O7" s="24">
        <v>4906.8</v>
      </c>
      <c r="P7" s="18">
        <v>4686</v>
      </c>
      <c r="Q7" s="18">
        <f t="shared" si="3"/>
        <v>9592.7999999999993</v>
      </c>
      <c r="R7" s="17">
        <f t="shared" si="4"/>
        <v>15762</v>
      </c>
      <c r="S7" s="18">
        <f t="shared" si="5"/>
        <v>6169.2000000000007</v>
      </c>
      <c r="T7" s="24">
        <v>0</v>
      </c>
      <c r="U7" s="24">
        <v>0</v>
      </c>
      <c r="V7" s="19">
        <v>0</v>
      </c>
      <c r="W7" s="19">
        <f t="shared" si="6"/>
        <v>0</v>
      </c>
      <c r="X7" s="19"/>
      <c r="Y7" s="19">
        <f t="shared" si="13"/>
        <v>0</v>
      </c>
      <c r="Z7" s="24"/>
      <c r="AA7" s="21"/>
      <c r="AB7" s="18">
        <f t="shared" si="7"/>
        <v>0</v>
      </c>
      <c r="AC7" s="100">
        <f t="shared" si="8"/>
        <v>0</v>
      </c>
      <c r="AD7" s="109">
        <f t="shared" si="9"/>
        <v>4189.7000000000007</v>
      </c>
      <c r="AE7" s="103"/>
      <c r="AF7" s="17"/>
      <c r="AG7" s="17"/>
      <c r="AH7" s="24">
        <f t="shared" si="10"/>
        <v>7396.3</v>
      </c>
      <c r="AI7" s="24">
        <f t="shared" si="0"/>
        <v>7396.3</v>
      </c>
      <c r="AJ7" s="24">
        <v>7435.3</v>
      </c>
      <c r="AK7" s="24">
        <f t="shared" si="11"/>
        <v>-39</v>
      </c>
      <c r="AL7" s="24"/>
      <c r="AM7" s="24"/>
      <c r="AN7" s="24"/>
      <c r="AO7" s="24">
        <f t="shared" si="12"/>
        <v>0</v>
      </c>
      <c r="AP7" s="15"/>
      <c r="AQ7" s="15"/>
      <c r="AR7" s="15"/>
      <c r="AS7" s="15"/>
    </row>
    <row r="8" spans="1:47">
      <c r="A8" s="12" t="s">
        <v>45</v>
      </c>
      <c r="B8" s="17">
        <v>832</v>
      </c>
      <c r="C8" s="30">
        <v>885</v>
      </c>
      <c r="D8" s="17">
        <v>729</v>
      </c>
      <c r="E8" s="18">
        <v>87.620192307692307</v>
      </c>
      <c r="F8" s="24">
        <v>4980</v>
      </c>
      <c r="G8" s="31">
        <v>4980</v>
      </c>
      <c r="H8" s="17">
        <f t="shared" si="1"/>
        <v>9960</v>
      </c>
      <c r="I8" s="17">
        <v>3000</v>
      </c>
      <c r="J8" s="17">
        <f t="shared" si="2"/>
        <v>-6960</v>
      </c>
      <c r="K8" s="24">
        <v>2993</v>
      </c>
      <c r="L8" s="24">
        <v>38909</v>
      </c>
      <c r="M8" s="24">
        <v>8</v>
      </c>
      <c r="N8" s="24">
        <v>24.8</v>
      </c>
      <c r="O8" s="24">
        <v>38933.800000000003</v>
      </c>
      <c r="P8" s="129">
        <v>51792.7</v>
      </c>
      <c r="Q8" s="18">
        <f t="shared" si="3"/>
        <v>90726.5</v>
      </c>
      <c r="R8" s="17">
        <f t="shared" si="4"/>
        <v>155277</v>
      </c>
      <c r="S8" s="18">
        <f t="shared" si="5"/>
        <v>64550.5</v>
      </c>
      <c r="T8" s="24">
        <v>0</v>
      </c>
      <c r="U8" s="24">
        <v>0</v>
      </c>
      <c r="V8" s="131">
        <v>0</v>
      </c>
      <c r="W8" s="19">
        <f t="shared" si="6"/>
        <v>0</v>
      </c>
      <c r="X8" s="19"/>
      <c r="Y8" s="19">
        <f t="shared" si="13"/>
        <v>0</v>
      </c>
      <c r="Z8" s="24">
        <f>[2]Svømmetimetilskud!J8</f>
        <v>44071.367458789144</v>
      </c>
      <c r="AA8" s="32">
        <v>41313.44641620836</v>
      </c>
      <c r="AB8" s="18">
        <f t="shared" si="7"/>
        <v>85384.813874997504</v>
      </c>
      <c r="AC8" s="100">
        <f>-AB8/2</f>
        <v>-42692.406937498752</v>
      </c>
      <c r="AD8" s="109">
        <f t="shared" si="9"/>
        <v>14898.093062501248</v>
      </c>
      <c r="AE8" s="103"/>
      <c r="AF8" s="17"/>
      <c r="AG8" s="17"/>
      <c r="AH8" s="24">
        <f t="shared" si="10"/>
        <v>43913.8</v>
      </c>
      <c r="AI8" s="24">
        <f t="shared" si="0"/>
        <v>43913.8</v>
      </c>
      <c r="AJ8" s="24">
        <v>45578</v>
      </c>
      <c r="AK8" s="24">
        <f t="shared" si="11"/>
        <v>-1664.1999999999971</v>
      </c>
      <c r="AL8" s="15" t="s">
        <v>43</v>
      </c>
      <c r="AM8" s="143">
        <v>11165</v>
      </c>
      <c r="AN8" s="143">
        <v>3288.6</v>
      </c>
      <c r="AO8" s="24">
        <f t="shared" si="12"/>
        <v>14453.6</v>
      </c>
      <c r="AP8" s="15"/>
      <c r="AQ8" s="15"/>
      <c r="AR8" s="15"/>
      <c r="AS8" s="15"/>
    </row>
    <row r="9" spans="1:47">
      <c r="A9" s="10" t="s">
        <v>46</v>
      </c>
      <c r="B9" s="11">
        <v>258</v>
      </c>
      <c r="C9" s="12">
        <v>244</v>
      </c>
      <c r="D9" s="11">
        <v>105</v>
      </c>
      <c r="E9" s="23">
        <v>40.697674418604649</v>
      </c>
      <c r="F9" s="10">
        <v>2489.5</v>
      </c>
      <c r="G9" s="17">
        <v>2490</v>
      </c>
      <c r="H9" s="17">
        <f t="shared" si="1"/>
        <v>4979.5</v>
      </c>
      <c r="I9" s="17">
        <v>3000</v>
      </c>
      <c r="J9" s="17">
        <f t="shared" si="2"/>
        <v>-1979.5</v>
      </c>
      <c r="K9" s="12">
        <v>582</v>
      </c>
      <c r="L9" s="12">
        <v>7566</v>
      </c>
      <c r="M9" s="12">
        <v>48</v>
      </c>
      <c r="N9" s="12">
        <v>148.80000000000001</v>
      </c>
      <c r="O9" s="12">
        <v>7714.8</v>
      </c>
      <c r="P9" s="18">
        <v>7930.2</v>
      </c>
      <c r="Q9" s="18">
        <f t="shared" si="3"/>
        <v>15645</v>
      </c>
      <c r="R9" s="17">
        <f t="shared" si="4"/>
        <v>22365</v>
      </c>
      <c r="S9" s="18">
        <f t="shared" si="5"/>
        <v>6720</v>
      </c>
      <c r="T9" s="12">
        <v>0</v>
      </c>
      <c r="U9" s="12">
        <v>0</v>
      </c>
      <c r="V9" s="19">
        <v>0</v>
      </c>
      <c r="W9" s="19">
        <f t="shared" si="6"/>
        <v>0</v>
      </c>
      <c r="X9" s="19"/>
      <c r="Y9" s="19">
        <f t="shared" si="13"/>
        <v>0</v>
      </c>
      <c r="Z9" s="33">
        <f>[2]Svømmetimetilskud!J4</f>
        <v>3142.1884340545612</v>
      </c>
      <c r="AA9" s="32">
        <v>2853.3560928786133</v>
      </c>
      <c r="AB9" s="18">
        <f t="shared" si="7"/>
        <v>5995.544526933174</v>
      </c>
      <c r="AC9" s="100">
        <f>-AB9/2</f>
        <v>-2997.772263466587</v>
      </c>
      <c r="AD9" s="108">
        <f t="shared" si="9"/>
        <v>1742.727736533413</v>
      </c>
      <c r="AE9" s="103"/>
      <c r="AF9" s="17"/>
      <c r="AG9" s="17"/>
      <c r="AH9" s="24">
        <f t="shared" si="10"/>
        <v>10204.299999999999</v>
      </c>
      <c r="AI9" s="24">
        <f t="shared" si="0"/>
        <v>10204.299999999999</v>
      </c>
      <c r="AJ9" s="24">
        <v>10909.9</v>
      </c>
      <c r="AK9" s="24">
        <f t="shared" si="11"/>
        <v>-705.60000000000036</v>
      </c>
      <c r="AL9" s="24" t="s">
        <v>43</v>
      </c>
      <c r="AM9" s="144">
        <v>1900</v>
      </c>
      <c r="AN9" s="24"/>
      <c r="AO9" s="24">
        <f t="shared" si="12"/>
        <v>1900</v>
      </c>
      <c r="AP9" s="15"/>
      <c r="AQ9" s="15"/>
      <c r="AR9" s="15"/>
      <c r="AS9" s="15"/>
    </row>
    <row r="10" spans="1:47">
      <c r="A10" s="12" t="s">
        <v>47</v>
      </c>
      <c r="B10" s="17">
        <v>98</v>
      </c>
      <c r="C10" s="10">
        <v>100</v>
      </c>
      <c r="D10" s="17">
        <v>30</v>
      </c>
      <c r="E10" s="18">
        <v>30.612244897959183</v>
      </c>
      <c r="F10" s="24">
        <v>2489.5</v>
      </c>
      <c r="G10" s="11">
        <v>2490</v>
      </c>
      <c r="H10" s="17">
        <f t="shared" si="1"/>
        <v>4979.5</v>
      </c>
      <c r="I10" s="17">
        <v>3000</v>
      </c>
      <c r="J10" s="17">
        <f t="shared" si="2"/>
        <v>-1979.5</v>
      </c>
      <c r="K10" s="24">
        <v>174</v>
      </c>
      <c r="L10" s="24">
        <v>2262</v>
      </c>
      <c r="M10" s="24">
        <v>6</v>
      </c>
      <c r="N10" s="24">
        <v>18.600000000000001</v>
      </c>
      <c r="O10" s="24">
        <v>2280.6</v>
      </c>
      <c r="P10" s="18">
        <v>2387.1</v>
      </c>
      <c r="Q10" s="18">
        <f t="shared" si="3"/>
        <v>4667.7</v>
      </c>
      <c r="R10" s="17">
        <f t="shared" si="4"/>
        <v>6390</v>
      </c>
      <c r="S10" s="18">
        <f t="shared" si="5"/>
        <v>1722.3000000000002</v>
      </c>
      <c r="T10" s="24">
        <v>0</v>
      </c>
      <c r="U10" s="24">
        <v>0</v>
      </c>
      <c r="V10" s="12">
        <v>0</v>
      </c>
      <c r="W10" s="19">
        <f t="shared" si="6"/>
        <v>0</v>
      </c>
      <c r="X10" s="19"/>
      <c r="Y10" s="19">
        <f t="shared" si="13"/>
        <v>0</v>
      </c>
      <c r="Z10" s="24">
        <f>[2]Svømmetimetilskud!J7</f>
        <v>222.27385579555556</v>
      </c>
      <c r="AA10" s="32">
        <v>382.14590529624286</v>
      </c>
      <c r="AB10" s="18">
        <f t="shared" si="7"/>
        <v>604.41976109179836</v>
      </c>
      <c r="AC10" s="100">
        <f>-AB10/2</f>
        <v>-302.20988054589918</v>
      </c>
      <c r="AD10" s="109">
        <f t="shared" si="9"/>
        <v>-559.409880545899</v>
      </c>
      <c r="AE10" s="103"/>
      <c r="AF10" s="17"/>
      <c r="AG10" s="17"/>
      <c r="AH10" s="24">
        <f t="shared" si="10"/>
        <v>4770.1000000000004</v>
      </c>
      <c r="AI10" s="24">
        <f t="shared" si="0"/>
        <v>4770.1000000000004</v>
      </c>
      <c r="AJ10" s="24">
        <v>5008.5</v>
      </c>
      <c r="AK10" s="24">
        <f t="shared" si="11"/>
        <v>-238.39999999999964</v>
      </c>
      <c r="AL10" s="24" t="s">
        <v>43</v>
      </c>
      <c r="AM10" s="24"/>
      <c r="AN10" s="24"/>
      <c r="AO10" s="24">
        <f t="shared" si="12"/>
        <v>0</v>
      </c>
      <c r="AP10" s="15"/>
      <c r="AQ10" s="15"/>
      <c r="AR10" s="15"/>
      <c r="AS10" s="15"/>
    </row>
    <row r="11" spans="1:47">
      <c r="A11" s="12" t="s">
        <v>48</v>
      </c>
      <c r="B11" s="17">
        <v>183</v>
      </c>
      <c r="C11" s="12">
        <v>187</v>
      </c>
      <c r="D11" s="17">
        <v>148</v>
      </c>
      <c r="E11" s="18">
        <v>80.874316939890718</v>
      </c>
      <c r="F11" s="24">
        <v>2489.5</v>
      </c>
      <c r="G11" s="17">
        <v>2490</v>
      </c>
      <c r="H11" s="17">
        <f t="shared" si="1"/>
        <v>4979.5</v>
      </c>
      <c r="I11" s="17">
        <v>3000</v>
      </c>
      <c r="J11" s="17">
        <f t="shared" si="2"/>
        <v>-1979.5</v>
      </c>
      <c r="K11" s="24">
        <v>847</v>
      </c>
      <c r="L11" s="24">
        <v>11011</v>
      </c>
      <c r="M11" s="24">
        <v>40</v>
      </c>
      <c r="N11" s="24">
        <v>124</v>
      </c>
      <c r="O11" s="24">
        <v>11135</v>
      </c>
      <c r="P11" s="18">
        <v>11203.1</v>
      </c>
      <c r="Q11" s="18">
        <f t="shared" si="3"/>
        <v>22338.1</v>
      </c>
      <c r="R11" s="17">
        <f t="shared" si="4"/>
        <v>31524</v>
      </c>
      <c r="S11" s="18">
        <f t="shared" si="5"/>
        <v>9185.9000000000015</v>
      </c>
      <c r="T11" s="24">
        <v>0</v>
      </c>
      <c r="U11" s="24">
        <v>0</v>
      </c>
      <c r="V11" s="19">
        <v>0</v>
      </c>
      <c r="W11" s="19">
        <f t="shared" si="6"/>
        <v>0</v>
      </c>
      <c r="X11" s="19"/>
      <c r="Y11" s="19">
        <f t="shared" si="13"/>
        <v>0</v>
      </c>
      <c r="Z11" s="24"/>
      <c r="AA11" s="21"/>
      <c r="AB11" s="18">
        <f t="shared" si="7"/>
        <v>0</v>
      </c>
      <c r="AC11" s="100">
        <f t="shared" si="8"/>
        <v>0</v>
      </c>
      <c r="AD11" s="109">
        <f t="shared" si="9"/>
        <v>7206.4000000000015</v>
      </c>
      <c r="AE11" s="103"/>
      <c r="AF11" s="17"/>
      <c r="AG11" s="17"/>
      <c r="AH11" s="24">
        <f t="shared" si="10"/>
        <v>13624.5</v>
      </c>
      <c r="AI11" s="24">
        <f t="shared" si="0"/>
        <v>13624.5</v>
      </c>
      <c r="AJ11" s="24">
        <v>13709.3</v>
      </c>
      <c r="AK11" s="24">
        <f t="shared" si="11"/>
        <v>-84.799999999999272</v>
      </c>
      <c r="AL11" s="24" t="s">
        <v>43</v>
      </c>
      <c r="AM11" s="24"/>
      <c r="AN11" s="24"/>
      <c r="AO11" s="24">
        <f t="shared" si="12"/>
        <v>0</v>
      </c>
      <c r="AP11" s="15"/>
      <c r="AQ11" s="15"/>
      <c r="AR11" s="15"/>
      <c r="AS11" s="15"/>
    </row>
    <row r="12" spans="1:47">
      <c r="A12" s="12" t="s">
        <v>49</v>
      </c>
      <c r="B12" s="17">
        <v>123</v>
      </c>
      <c r="C12" s="12">
        <v>159</v>
      </c>
      <c r="D12" s="17">
        <v>41</v>
      </c>
      <c r="E12" s="18">
        <v>33.333333333333329</v>
      </c>
      <c r="F12" s="24">
        <v>2489.5</v>
      </c>
      <c r="G12" s="17">
        <v>2490</v>
      </c>
      <c r="H12" s="17">
        <f t="shared" si="1"/>
        <v>4979.5</v>
      </c>
      <c r="I12" s="17">
        <v>3000</v>
      </c>
      <c r="J12" s="17">
        <f t="shared" si="2"/>
        <v>-1979.5</v>
      </c>
      <c r="K12" s="24">
        <v>139</v>
      </c>
      <c r="L12" s="24">
        <v>1807</v>
      </c>
      <c r="M12" s="24">
        <v>0</v>
      </c>
      <c r="N12" s="24">
        <v>0</v>
      </c>
      <c r="O12" s="24">
        <v>1807</v>
      </c>
      <c r="P12" s="18">
        <v>2579.6</v>
      </c>
      <c r="Q12" s="18">
        <f t="shared" si="3"/>
        <v>4386.6000000000004</v>
      </c>
      <c r="R12" s="17">
        <f t="shared" si="4"/>
        <v>8733</v>
      </c>
      <c r="S12" s="18">
        <f t="shared" si="5"/>
        <v>4346.3999999999996</v>
      </c>
      <c r="T12" s="24">
        <v>159</v>
      </c>
      <c r="U12" s="24">
        <v>5247</v>
      </c>
      <c r="V12" s="19">
        <v>5494.5</v>
      </c>
      <c r="W12" s="19">
        <f t="shared" si="6"/>
        <v>10741.5</v>
      </c>
      <c r="X12" s="28">
        <f>W12/33</f>
        <v>325.5</v>
      </c>
      <c r="Y12" s="19">
        <f>-W12*Y2</f>
        <v>-10741.5</v>
      </c>
      <c r="Z12" s="24"/>
      <c r="AA12" s="21"/>
      <c r="AB12" s="18">
        <f t="shared" si="7"/>
        <v>0</v>
      </c>
      <c r="AC12" s="100">
        <f t="shared" si="8"/>
        <v>0</v>
      </c>
      <c r="AD12" s="108">
        <f>J12+S12+Y12+AC12+AG12</f>
        <v>-5503.3991713005453</v>
      </c>
      <c r="AE12" s="103">
        <f>E12</f>
        <v>33.333333333333329</v>
      </c>
      <c r="AF12" s="22">
        <f>X12*AE12/100</f>
        <v>108.49999999999999</v>
      </c>
      <c r="AG12" s="22">
        <f>AF12*AG2/AF58</f>
        <v>2871.2008286994546</v>
      </c>
      <c r="AH12" s="24">
        <f t="shared" si="10"/>
        <v>4296.5</v>
      </c>
      <c r="AI12" s="24">
        <f t="shared" si="0"/>
        <v>9543.5</v>
      </c>
      <c r="AJ12" s="24">
        <v>10588.3</v>
      </c>
      <c r="AK12" s="24">
        <f t="shared" si="11"/>
        <v>-1044.7999999999993</v>
      </c>
      <c r="AL12" s="24" t="s">
        <v>50</v>
      </c>
      <c r="AM12" s="24"/>
      <c r="AN12" s="24"/>
      <c r="AO12" s="24">
        <f t="shared" si="12"/>
        <v>0</v>
      </c>
      <c r="AP12" s="15"/>
      <c r="AQ12" s="15"/>
      <c r="AR12" s="15"/>
      <c r="AS12" s="15"/>
    </row>
    <row r="13" spans="1:47">
      <c r="A13" s="10" t="s">
        <v>51</v>
      </c>
      <c r="B13" s="11">
        <v>59</v>
      </c>
      <c r="C13" s="12">
        <v>61</v>
      </c>
      <c r="D13" s="11">
        <v>26</v>
      </c>
      <c r="E13" s="23">
        <v>44.067796610169488</v>
      </c>
      <c r="F13" s="14">
        <v>2489.5</v>
      </c>
      <c r="G13" s="17">
        <v>2490</v>
      </c>
      <c r="H13" s="17">
        <f t="shared" si="1"/>
        <v>4979.5</v>
      </c>
      <c r="I13" s="17">
        <v>3000</v>
      </c>
      <c r="J13" s="17">
        <f t="shared" si="2"/>
        <v>-1979.5</v>
      </c>
      <c r="K13" s="24">
        <v>78</v>
      </c>
      <c r="L13" s="24">
        <v>1014</v>
      </c>
      <c r="M13" s="24">
        <v>0</v>
      </c>
      <c r="N13" s="24">
        <v>0</v>
      </c>
      <c r="O13" s="24">
        <v>1014</v>
      </c>
      <c r="P13" s="18">
        <v>1092</v>
      </c>
      <c r="Q13" s="18">
        <f t="shared" si="3"/>
        <v>2106</v>
      </c>
      <c r="R13" s="17">
        <f t="shared" si="4"/>
        <v>5538</v>
      </c>
      <c r="S13" s="18">
        <f t="shared" si="5"/>
        <v>3432</v>
      </c>
      <c r="T13" s="24">
        <v>0</v>
      </c>
      <c r="U13" s="24">
        <v>0</v>
      </c>
      <c r="V13" s="19">
        <v>0</v>
      </c>
      <c r="W13" s="19">
        <f t="shared" si="6"/>
        <v>0</v>
      </c>
      <c r="X13" s="19"/>
      <c r="Y13" s="19">
        <f>-W13</f>
        <v>0</v>
      </c>
      <c r="Z13" s="14"/>
      <c r="AA13" s="21">
        <v>0</v>
      </c>
      <c r="AB13" s="18">
        <f t="shared" si="7"/>
        <v>0</v>
      </c>
      <c r="AC13" s="100">
        <f t="shared" si="8"/>
        <v>0</v>
      </c>
      <c r="AD13" s="109">
        <f t="shared" si="9"/>
        <v>1452.5</v>
      </c>
      <c r="AE13" s="103"/>
      <c r="AF13" s="17"/>
      <c r="AG13" s="17"/>
      <c r="AH13" s="24">
        <f t="shared" si="10"/>
        <v>3503.5</v>
      </c>
      <c r="AI13" s="24">
        <f t="shared" si="0"/>
        <v>3503.5</v>
      </c>
      <c r="AJ13" s="24">
        <v>3660</v>
      </c>
      <c r="AK13" s="24">
        <f t="shared" si="11"/>
        <v>-156.5</v>
      </c>
      <c r="AL13" s="24"/>
      <c r="AM13" s="24"/>
      <c r="AN13" s="24"/>
      <c r="AO13" s="24">
        <f t="shared" si="12"/>
        <v>0</v>
      </c>
      <c r="AP13" s="15"/>
      <c r="AQ13" s="15"/>
      <c r="AR13" s="15"/>
      <c r="AS13" s="15"/>
    </row>
    <row r="14" spans="1:47">
      <c r="A14" s="12" t="s">
        <v>52</v>
      </c>
      <c r="B14" s="17">
        <v>2645</v>
      </c>
      <c r="C14" s="10">
        <v>1559</v>
      </c>
      <c r="D14" s="17">
        <v>1888</v>
      </c>
      <c r="E14" s="18">
        <v>71.379962192816635</v>
      </c>
      <c r="F14" s="24">
        <v>4980</v>
      </c>
      <c r="G14" s="11">
        <v>4980</v>
      </c>
      <c r="H14" s="17">
        <f t="shared" si="1"/>
        <v>9960</v>
      </c>
      <c r="I14" s="17">
        <f>3000*7</f>
        <v>21000</v>
      </c>
      <c r="J14" s="17">
        <f t="shared" si="2"/>
        <v>11040</v>
      </c>
      <c r="K14" s="24">
        <v>9316</v>
      </c>
      <c r="L14" s="24">
        <v>121108</v>
      </c>
      <c r="M14" s="24">
        <v>211</v>
      </c>
      <c r="N14" s="24">
        <v>654.1</v>
      </c>
      <c r="O14" s="24">
        <v>121762.1</v>
      </c>
      <c r="P14" s="18">
        <v>113502.39999999999</v>
      </c>
      <c r="Q14" s="18">
        <f t="shared" si="3"/>
        <v>235264.5</v>
      </c>
      <c r="R14" s="17">
        <f>'[2]Hovedfor. ens (3)'!R21</f>
        <v>379140</v>
      </c>
      <c r="S14" s="18">
        <f t="shared" si="5"/>
        <v>143875.5</v>
      </c>
      <c r="T14" s="24">
        <v>820.25</v>
      </c>
      <c r="U14" s="24">
        <v>27068.25</v>
      </c>
      <c r="V14" s="24">
        <v>31647</v>
      </c>
      <c r="W14" s="19">
        <f t="shared" si="6"/>
        <v>58715.25</v>
      </c>
      <c r="X14" s="28">
        <f>'[2]Hovedfor. ens (3)'!W14+'[2]Hovedfor. ens (3)'!W15</f>
        <v>892.24242424242425</v>
      </c>
      <c r="Y14" s="19">
        <f>-W14*Y2</f>
        <v>-58715.25</v>
      </c>
      <c r="Z14" s="24">
        <f>[2]Svømmetimetilskud!J5</f>
        <v>44503.305890378826</v>
      </c>
      <c r="AA14" s="32">
        <v>47575.693152736261</v>
      </c>
      <c r="AB14" s="18">
        <f t="shared" si="7"/>
        <v>92078.999043115095</v>
      </c>
      <c r="AC14" s="100">
        <f>-AB14/2</f>
        <v>-46039.499521557547</v>
      </c>
      <c r="AD14" s="109">
        <f>J14+S14+Y14+AC14+AG14</f>
        <v>67014.363401628099</v>
      </c>
      <c r="AE14" s="103">
        <f t="shared" ref="AE14:AE19" si="14">E14</f>
        <v>71.379962192816635</v>
      </c>
      <c r="AF14" s="17">
        <f>X14*AE14/100</f>
        <v>636.88230509251309</v>
      </c>
      <c r="AG14" s="17">
        <f>AF14*AG2/AF58</f>
        <v>16853.612923185647</v>
      </c>
      <c r="AH14" s="24">
        <f t="shared" si="10"/>
        <v>126742.1</v>
      </c>
      <c r="AI14" s="24">
        <f t="shared" si="0"/>
        <v>153810.35</v>
      </c>
      <c r="AJ14" s="24">
        <v>153035.6</v>
      </c>
      <c r="AK14" s="24">
        <f t="shared" si="11"/>
        <v>774.75</v>
      </c>
      <c r="AL14" s="24" t="s">
        <v>43</v>
      </c>
      <c r="AM14" s="144">
        <v>129004</v>
      </c>
      <c r="AN14" s="24"/>
      <c r="AO14" s="24">
        <f t="shared" si="12"/>
        <v>129004</v>
      </c>
      <c r="AP14" s="15"/>
      <c r="AQ14" s="15"/>
      <c r="AR14" s="15"/>
      <c r="AS14" s="15"/>
    </row>
    <row r="15" spans="1:47">
      <c r="A15" s="12" t="s">
        <v>53</v>
      </c>
      <c r="B15" s="17">
        <v>166</v>
      </c>
      <c r="C15" s="10">
        <v>177</v>
      </c>
      <c r="D15" s="17">
        <v>72</v>
      </c>
      <c r="E15" s="18">
        <v>43.373493975903614</v>
      </c>
      <c r="F15" s="24">
        <v>2489.5</v>
      </c>
      <c r="G15" s="11">
        <v>2490</v>
      </c>
      <c r="H15" s="17">
        <f t="shared" si="1"/>
        <v>4979.5</v>
      </c>
      <c r="I15" s="17">
        <v>3000</v>
      </c>
      <c r="J15" s="17">
        <f t="shared" si="2"/>
        <v>-1979.5</v>
      </c>
      <c r="K15" s="24">
        <v>362</v>
      </c>
      <c r="L15" s="24">
        <v>4706</v>
      </c>
      <c r="M15" s="24">
        <v>28</v>
      </c>
      <c r="N15" s="24">
        <v>86.8</v>
      </c>
      <c r="O15" s="24">
        <v>4792.8</v>
      </c>
      <c r="P15" s="18">
        <v>6009.8</v>
      </c>
      <c r="Q15" s="18">
        <f t="shared" si="3"/>
        <v>10802.6</v>
      </c>
      <c r="R15" s="17">
        <f t="shared" si="4"/>
        <v>15336</v>
      </c>
      <c r="S15" s="18">
        <f t="shared" si="5"/>
        <v>4533.3999999999996</v>
      </c>
      <c r="T15" s="24">
        <v>368</v>
      </c>
      <c r="U15" s="24">
        <v>12144</v>
      </c>
      <c r="V15" s="12">
        <v>11500.5</v>
      </c>
      <c r="W15" s="19">
        <f t="shared" si="6"/>
        <v>23644.5</v>
      </c>
      <c r="X15" s="28">
        <f>W15/33</f>
        <v>716.5</v>
      </c>
      <c r="Y15" s="19">
        <f>-W15*Y2</f>
        <v>-23644.5</v>
      </c>
      <c r="Z15" s="24"/>
      <c r="AA15" s="21"/>
      <c r="AB15" s="18">
        <f t="shared" si="7"/>
        <v>0</v>
      </c>
      <c r="AC15" s="100">
        <f t="shared" si="8"/>
        <v>0</v>
      </c>
      <c r="AD15" s="109">
        <f>J15+S15+Y15+AC15+AG15</f>
        <v>-12866.764102440313</v>
      </c>
      <c r="AE15" s="103">
        <f t="shared" si="14"/>
        <v>43.373493975903614</v>
      </c>
      <c r="AF15" s="17">
        <f>X15*AE15/100</f>
        <v>310.77108433734941</v>
      </c>
      <c r="AG15" s="17">
        <f>AF15*AG2/AF58</f>
        <v>8223.8358975596857</v>
      </c>
      <c r="AH15" s="24">
        <f t="shared" si="10"/>
        <v>7282.3</v>
      </c>
      <c r="AI15" s="24">
        <f t="shared" si="0"/>
        <v>19426.3</v>
      </c>
      <c r="AJ15" s="24">
        <v>19042.900000000001</v>
      </c>
      <c r="AK15" s="24">
        <f t="shared" si="11"/>
        <v>383.39999999999782</v>
      </c>
      <c r="AL15" s="24" t="s">
        <v>43</v>
      </c>
      <c r="AM15" s="24"/>
      <c r="AN15" s="145">
        <f>SUM(AN9:AN14)</f>
        <v>0</v>
      </c>
      <c r="AO15" s="24">
        <f t="shared" si="12"/>
        <v>0</v>
      </c>
      <c r="AP15" s="15"/>
      <c r="AQ15" s="15"/>
      <c r="AR15" s="15"/>
      <c r="AS15" s="15"/>
    </row>
    <row r="16" spans="1:47">
      <c r="A16" s="10" t="s">
        <v>54</v>
      </c>
      <c r="B16" s="11">
        <v>86</v>
      </c>
      <c r="C16" s="12">
        <v>88</v>
      </c>
      <c r="D16" s="11">
        <v>52</v>
      </c>
      <c r="E16" s="23">
        <v>60.465116279069761</v>
      </c>
      <c r="F16" s="10">
        <v>2489.5</v>
      </c>
      <c r="G16" s="17">
        <v>2490</v>
      </c>
      <c r="H16" s="17">
        <f t="shared" si="1"/>
        <v>4979.5</v>
      </c>
      <c r="I16" s="17">
        <v>3000</v>
      </c>
      <c r="J16" s="17">
        <f t="shared" si="2"/>
        <v>-1979.5</v>
      </c>
      <c r="K16" s="12">
        <v>300</v>
      </c>
      <c r="L16" s="12">
        <v>3900</v>
      </c>
      <c r="M16" s="12">
        <v>12</v>
      </c>
      <c r="N16" s="12">
        <v>37.200000000000003</v>
      </c>
      <c r="O16" s="12">
        <v>3937.2</v>
      </c>
      <c r="P16" s="18">
        <v>4286.3999999999996</v>
      </c>
      <c r="Q16" s="18">
        <f t="shared" si="3"/>
        <v>8223.5999999999985</v>
      </c>
      <c r="R16" s="17">
        <f t="shared" si="4"/>
        <v>11076</v>
      </c>
      <c r="S16" s="18">
        <f t="shared" si="5"/>
        <v>2852.4000000000015</v>
      </c>
      <c r="T16" s="12">
        <v>315</v>
      </c>
      <c r="U16" s="24">
        <v>10395</v>
      </c>
      <c r="V16" s="19">
        <v>10296</v>
      </c>
      <c r="W16" s="19">
        <f t="shared" si="6"/>
        <v>20691</v>
      </c>
      <c r="X16" s="28">
        <f>W16/33</f>
        <v>627</v>
      </c>
      <c r="Y16" s="19">
        <f>-W16*Y2</f>
        <v>-20691</v>
      </c>
      <c r="Z16" s="10"/>
      <c r="AA16" s="21">
        <v>0</v>
      </c>
      <c r="AB16" s="18">
        <f t="shared" si="7"/>
        <v>0</v>
      </c>
      <c r="AC16" s="100">
        <f t="shared" si="8"/>
        <v>0</v>
      </c>
      <c r="AD16" s="109">
        <f>J16+S16+Y16+AC16+AG16</f>
        <v>-9785.6670540223931</v>
      </c>
      <c r="AE16" s="103">
        <f t="shared" si="14"/>
        <v>60.465116279069761</v>
      </c>
      <c r="AF16" s="17">
        <f>X16*AE16/100</f>
        <v>379.11627906976742</v>
      </c>
      <c r="AG16" s="17">
        <f>AF16*AG2/AF58</f>
        <v>10032.432945977605</v>
      </c>
      <c r="AH16" s="24">
        <f t="shared" si="10"/>
        <v>6426.7</v>
      </c>
      <c r="AI16" s="24">
        <f t="shared" si="0"/>
        <v>16821.7</v>
      </c>
      <c r="AJ16" s="24">
        <v>16210.7</v>
      </c>
      <c r="AK16" s="24">
        <f t="shared" si="11"/>
        <v>611</v>
      </c>
      <c r="AL16" s="24" t="s">
        <v>43</v>
      </c>
      <c r="AM16" s="144">
        <v>1700</v>
      </c>
      <c r="AN16" s="150">
        <v>542.35</v>
      </c>
      <c r="AO16" s="24">
        <f t="shared" si="12"/>
        <v>2242.35</v>
      </c>
      <c r="AP16" s="15"/>
      <c r="AQ16" s="15"/>
      <c r="AR16" s="15"/>
      <c r="AS16" s="15"/>
    </row>
    <row r="17" spans="1:45">
      <c r="A17" s="12" t="s">
        <v>55</v>
      </c>
      <c r="B17" s="17">
        <v>43</v>
      </c>
      <c r="C17" s="12">
        <v>43</v>
      </c>
      <c r="D17" s="17">
        <v>27</v>
      </c>
      <c r="E17" s="18">
        <v>62.790697674418603</v>
      </c>
      <c r="F17" s="18">
        <v>2490</v>
      </c>
      <c r="G17" s="17">
        <v>2490</v>
      </c>
      <c r="H17" s="17">
        <f t="shared" si="1"/>
        <v>4980</v>
      </c>
      <c r="I17" s="17">
        <v>3000</v>
      </c>
      <c r="J17" s="17">
        <f t="shared" si="2"/>
        <v>-1980</v>
      </c>
      <c r="K17" s="12">
        <v>135</v>
      </c>
      <c r="L17" s="18">
        <v>1755</v>
      </c>
      <c r="M17" s="18">
        <v>0</v>
      </c>
      <c r="N17" s="18">
        <v>0</v>
      </c>
      <c r="O17" s="18">
        <v>1755</v>
      </c>
      <c r="P17" s="18">
        <v>1755</v>
      </c>
      <c r="Q17" s="18">
        <f t="shared" si="3"/>
        <v>3510</v>
      </c>
      <c r="R17" s="17">
        <f t="shared" si="4"/>
        <v>5751</v>
      </c>
      <c r="S17" s="18">
        <f t="shared" si="5"/>
        <v>2241</v>
      </c>
      <c r="T17" s="18">
        <v>105</v>
      </c>
      <c r="U17" s="18">
        <v>0</v>
      </c>
      <c r="V17" s="19">
        <v>3465</v>
      </c>
      <c r="W17" s="19">
        <f t="shared" si="6"/>
        <v>3465</v>
      </c>
      <c r="X17" s="28">
        <f>W17/33</f>
        <v>105</v>
      </c>
      <c r="Y17" s="19">
        <f>-W17*Y2</f>
        <v>-3465</v>
      </c>
      <c r="Z17" s="12"/>
      <c r="AA17" s="21">
        <v>0</v>
      </c>
      <c r="AB17" s="18">
        <f t="shared" si="7"/>
        <v>0</v>
      </c>
      <c r="AC17" s="100">
        <f t="shared" si="8"/>
        <v>0</v>
      </c>
      <c r="AD17" s="108">
        <f>J17+S17+Y17+AC17+AG17</f>
        <v>-1459.309323896055</v>
      </c>
      <c r="AE17" s="103">
        <f t="shared" si="14"/>
        <v>62.790697674418603</v>
      </c>
      <c r="AF17" s="17">
        <f>X17*AE17/100</f>
        <v>65.930232558139537</v>
      </c>
      <c r="AG17" s="17">
        <f>AF17*AG2/AF58</f>
        <v>1744.690676103945</v>
      </c>
      <c r="AH17" s="24"/>
      <c r="AI17" s="24">
        <f t="shared" si="0"/>
        <v>0</v>
      </c>
      <c r="AJ17" s="24">
        <v>8651.5</v>
      </c>
      <c r="AK17" s="24">
        <f t="shared" si="11"/>
        <v>-8651.5</v>
      </c>
      <c r="AL17" s="24"/>
      <c r="AM17" s="24"/>
      <c r="AN17" s="24"/>
      <c r="AO17" s="24">
        <f t="shared" si="12"/>
        <v>0</v>
      </c>
      <c r="AP17" s="15"/>
      <c r="AQ17" s="15"/>
      <c r="AR17" s="15"/>
      <c r="AS17" s="15"/>
    </row>
    <row r="18" spans="1:45">
      <c r="A18" s="12" t="s">
        <v>56</v>
      </c>
      <c r="B18" s="17"/>
      <c r="C18" s="12"/>
      <c r="D18" s="17"/>
      <c r="E18" s="18"/>
      <c r="F18" s="24"/>
      <c r="G18" s="17"/>
      <c r="H18" s="17">
        <f t="shared" si="1"/>
        <v>0</v>
      </c>
      <c r="I18" s="17"/>
      <c r="J18" s="17"/>
      <c r="K18" s="24"/>
      <c r="L18" s="24"/>
      <c r="M18" s="24"/>
      <c r="N18" s="24"/>
      <c r="O18" s="24"/>
      <c r="P18" s="18"/>
      <c r="Q18" s="18">
        <f t="shared" si="3"/>
        <v>0</v>
      </c>
      <c r="R18" s="17">
        <f t="shared" si="4"/>
        <v>0</v>
      </c>
      <c r="S18" s="18">
        <f t="shared" si="5"/>
        <v>0</v>
      </c>
      <c r="T18" s="24"/>
      <c r="U18" s="24"/>
      <c r="V18" s="19"/>
      <c r="W18" s="19">
        <f t="shared" si="6"/>
        <v>0</v>
      </c>
      <c r="X18" s="19"/>
      <c r="Y18" s="19">
        <f>-W18</f>
        <v>0</v>
      </c>
      <c r="Z18" s="24"/>
      <c r="AA18" s="21"/>
      <c r="AB18" s="18">
        <f t="shared" si="7"/>
        <v>0</v>
      </c>
      <c r="AC18" s="100">
        <f t="shared" si="8"/>
        <v>0</v>
      </c>
      <c r="AD18" s="109">
        <f t="shared" si="9"/>
        <v>0</v>
      </c>
      <c r="AE18" s="103">
        <f t="shared" si="14"/>
        <v>0</v>
      </c>
      <c r="AF18" s="17"/>
      <c r="AG18" s="17"/>
      <c r="AH18" s="24">
        <f t="shared" si="10"/>
        <v>0</v>
      </c>
      <c r="AI18" s="24">
        <f t="shared" si="0"/>
        <v>0</v>
      </c>
      <c r="AJ18" s="24">
        <v>0</v>
      </c>
      <c r="AK18" s="24">
        <f t="shared" si="11"/>
        <v>0</v>
      </c>
      <c r="AL18" s="24"/>
      <c r="AM18" s="24"/>
      <c r="AN18" s="24"/>
      <c r="AO18" s="24">
        <f t="shared" si="12"/>
        <v>0</v>
      </c>
      <c r="AP18" s="15"/>
      <c r="AQ18" s="15"/>
      <c r="AR18" s="15"/>
      <c r="AS18" s="15"/>
    </row>
    <row r="19" spans="1:45">
      <c r="A19" s="12" t="s">
        <v>57</v>
      </c>
      <c r="B19" s="11">
        <v>24</v>
      </c>
      <c r="C19" s="12">
        <v>49</v>
      </c>
      <c r="D19" s="11">
        <v>8</v>
      </c>
      <c r="E19" s="23">
        <v>33.333333333333329</v>
      </c>
      <c r="F19" s="12">
        <v>2489.5</v>
      </c>
      <c r="G19" s="17">
        <v>2490</v>
      </c>
      <c r="H19" s="17">
        <f t="shared" si="1"/>
        <v>4979.5</v>
      </c>
      <c r="I19" s="17">
        <v>3000</v>
      </c>
      <c r="J19" s="17">
        <f t="shared" si="2"/>
        <v>-1979.5</v>
      </c>
      <c r="K19" s="10">
        <v>55</v>
      </c>
      <c r="L19" s="10">
        <v>715</v>
      </c>
      <c r="M19" s="10">
        <v>18</v>
      </c>
      <c r="N19" s="10">
        <v>55.800000000000004</v>
      </c>
      <c r="O19" s="10">
        <v>770.8</v>
      </c>
      <c r="P19" s="18">
        <v>372.7</v>
      </c>
      <c r="Q19" s="18">
        <f t="shared" si="3"/>
        <v>1143.5</v>
      </c>
      <c r="R19" s="17">
        <f t="shared" si="4"/>
        <v>1704</v>
      </c>
      <c r="S19" s="18">
        <f t="shared" si="5"/>
        <v>560.5</v>
      </c>
      <c r="T19" s="12">
        <v>182</v>
      </c>
      <c r="U19" s="12">
        <v>6006</v>
      </c>
      <c r="V19" s="19">
        <v>6798</v>
      </c>
      <c r="W19" s="19">
        <f t="shared" si="6"/>
        <v>12804</v>
      </c>
      <c r="X19" s="20">
        <f>W19/33</f>
        <v>388</v>
      </c>
      <c r="Y19" s="19">
        <f>-W19*Y2</f>
        <v>-12804</v>
      </c>
      <c r="Z19" s="12"/>
      <c r="AA19" s="21"/>
      <c r="AB19" s="18">
        <f t="shared" si="7"/>
        <v>0</v>
      </c>
      <c r="AC19" s="100">
        <f t="shared" si="8"/>
        <v>0</v>
      </c>
      <c r="AD19" s="109">
        <f>J19+S19+Y19+AC19+AG19</f>
        <v>-10800.493328616318</v>
      </c>
      <c r="AE19" s="103">
        <f t="shared" si="14"/>
        <v>33.333333333333329</v>
      </c>
      <c r="AF19" s="17">
        <f>X19*AE19/100</f>
        <v>129.33333333333331</v>
      </c>
      <c r="AG19" s="17">
        <f>AF19*AG2/AF58</f>
        <v>3422.5066713836818</v>
      </c>
      <c r="AH19" s="24">
        <f t="shared" si="10"/>
        <v>3260.3</v>
      </c>
      <c r="AI19" s="24">
        <f t="shared" si="0"/>
        <v>9266.2999999999993</v>
      </c>
      <c r="AJ19" s="24">
        <v>11059.1</v>
      </c>
      <c r="AK19" s="24">
        <f t="shared" si="11"/>
        <v>-1792.8000000000011</v>
      </c>
      <c r="AL19" s="24" t="s">
        <v>58</v>
      </c>
      <c r="AM19" s="145">
        <v>7190</v>
      </c>
      <c r="AN19" s="24"/>
      <c r="AO19" s="24">
        <f t="shared" si="12"/>
        <v>7190</v>
      </c>
      <c r="AP19" s="15"/>
      <c r="AQ19" s="15"/>
      <c r="AR19" s="15"/>
      <c r="AS19" s="15"/>
    </row>
    <row r="20" spans="1:45">
      <c r="A20" s="12" t="s">
        <v>59</v>
      </c>
      <c r="B20" s="17">
        <v>58</v>
      </c>
      <c r="C20" s="12">
        <v>53</v>
      </c>
      <c r="D20" s="17">
        <v>30</v>
      </c>
      <c r="E20" s="18">
        <v>51.724137931034484</v>
      </c>
      <c r="F20" s="24">
        <v>2489.5</v>
      </c>
      <c r="G20" s="17">
        <v>2490</v>
      </c>
      <c r="H20" s="17">
        <f t="shared" si="1"/>
        <v>4979.5</v>
      </c>
      <c r="I20" s="17">
        <v>3000</v>
      </c>
      <c r="J20" s="17">
        <f t="shared" si="2"/>
        <v>-1979.5</v>
      </c>
      <c r="K20" s="24">
        <v>120</v>
      </c>
      <c r="L20" s="24">
        <v>1560</v>
      </c>
      <c r="M20" s="24">
        <v>52</v>
      </c>
      <c r="N20" s="24">
        <v>161.20000000000002</v>
      </c>
      <c r="O20" s="24">
        <v>1721.2</v>
      </c>
      <c r="P20" s="18">
        <v>1749.6</v>
      </c>
      <c r="Q20" s="18">
        <f t="shared" si="3"/>
        <v>3470.8</v>
      </c>
      <c r="R20" s="17">
        <f t="shared" si="4"/>
        <v>6390</v>
      </c>
      <c r="S20" s="18">
        <f t="shared" si="5"/>
        <v>2919.2</v>
      </c>
      <c r="T20" s="24">
        <v>0</v>
      </c>
      <c r="U20" s="24">
        <v>0</v>
      </c>
      <c r="V20" s="19">
        <v>0</v>
      </c>
      <c r="W20" s="19">
        <f t="shared" si="6"/>
        <v>0</v>
      </c>
      <c r="X20" s="19"/>
      <c r="Y20" s="19">
        <f>-W20</f>
        <v>0</v>
      </c>
      <c r="Z20" s="24"/>
      <c r="AA20" s="21"/>
      <c r="AB20" s="18">
        <f t="shared" si="7"/>
        <v>0</v>
      </c>
      <c r="AC20" s="100">
        <f t="shared" si="8"/>
        <v>0</v>
      </c>
      <c r="AD20" s="109">
        <f t="shared" si="9"/>
        <v>939.69999999999982</v>
      </c>
      <c r="AE20" s="103"/>
      <c r="AF20" s="17"/>
      <c r="AG20" s="17"/>
      <c r="AH20" s="24">
        <f t="shared" si="10"/>
        <v>4210.7</v>
      </c>
      <c r="AI20" s="24">
        <f t="shared" si="0"/>
        <v>4210.7</v>
      </c>
      <c r="AJ20" s="24">
        <v>4239.1000000000004</v>
      </c>
      <c r="AK20" s="24">
        <f t="shared" si="11"/>
        <v>-28.400000000000546</v>
      </c>
      <c r="AL20" s="24" t="s">
        <v>43</v>
      </c>
      <c r="AM20" s="24"/>
      <c r="AN20" s="24"/>
      <c r="AO20" s="24">
        <f t="shared" si="12"/>
        <v>0</v>
      </c>
      <c r="AP20" s="15"/>
      <c r="AQ20" s="15"/>
      <c r="AR20" s="15"/>
      <c r="AS20" s="15"/>
    </row>
    <row r="21" spans="1:45">
      <c r="A21" s="12" t="s">
        <v>60</v>
      </c>
      <c r="B21" s="11">
        <v>170</v>
      </c>
      <c r="C21" s="12">
        <v>106</v>
      </c>
      <c r="D21" s="11">
        <v>42</v>
      </c>
      <c r="E21" s="23">
        <v>24.705882352941178</v>
      </c>
      <c r="F21" s="12">
        <v>2489.5</v>
      </c>
      <c r="G21" s="17">
        <v>2490</v>
      </c>
      <c r="H21" s="17">
        <f t="shared" si="1"/>
        <v>4979.5</v>
      </c>
      <c r="I21" s="17">
        <v>3000</v>
      </c>
      <c r="J21" s="17">
        <f t="shared" si="2"/>
        <v>-1979.5</v>
      </c>
      <c r="K21" s="10">
        <v>78</v>
      </c>
      <c r="L21" s="10">
        <v>1014</v>
      </c>
      <c r="M21" s="10">
        <v>96</v>
      </c>
      <c r="N21" s="10">
        <v>297.60000000000002</v>
      </c>
      <c r="O21" s="10">
        <v>1311.6</v>
      </c>
      <c r="P21" s="18">
        <v>1575</v>
      </c>
      <c r="Q21" s="18">
        <f t="shared" si="3"/>
        <v>2886.6</v>
      </c>
      <c r="R21" s="17">
        <f t="shared" si="4"/>
        <v>8946</v>
      </c>
      <c r="S21" s="18">
        <f t="shared" si="5"/>
        <v>6059.4</v>
      </c>
      <c r="T21" s="12">
        <v>0</v>
      </c>
      <c r="U21" s="12">
        <v>0</v>
      </c>
      <c r="V21" s="19">
        <v>0</v>
      </c>
      <c r="W21" s="19">
        <f t="shared" si="6"/>
        <v>0</v>
      </c>
      <c r="X21" s="19"/>
      <c r="Y21" s="19">
        <f>-W21</f>
        <v>0</v>
      </c>
      <c r="Z21" s="12"/>
      <c r="AA21" s="21"/>
      <c r="AB21" s="18">
        <f t="shared" si="7"/>
        <v>0</v>
      </c>
      <c r="AC21" s="100">
        <f t="shared" si="8"/>
        <v>0</v>
      </c>
      <c r="AD21" s="109">
        <f t="shared" si="9"/>
        <v>4079.8999999999996</v>
      </c>
      <c r="AE21" s="103"/>
      <c r="AF21" s="17"/>
      <c r="AG21" s="17"/>
      <c r="AH21" s="24">
        <f t="shared" si="10"/>
        <v>3801.1</v>
      </c>
      <c r="AI21" s="24">
        <f t="shared" si="0"/>
        <v>3801.1</v>
      </c>
      <c r="AJ21" s="29">
        <v>4065</v>
      </c>
      <c r="AK21" s="24">
        <f t="shared" si="11"/>
        <v>-263.90000000000009</v>
      </c>
      <c r="AL21" s="24"/>
      <c r="AM21" s="24">
        <v>12275</v>
      </c>
      <c r="AN21" s="24"/>
      <c r="AO21" s="24"/>
      <c r="AP21" s="15"/>
      <c r="AQ21" s="15"/>
      <c r="AR21" s="15"/>
      <c r="AS21" s="15"/>
    </row>
    <row r="22" spans="1:45">
      <c r="A22" s="12" t="s">
        <v>61</v>
      </c>
      <c r="B22" s="11">
        <v>2136</v>
      </c>
      <c r="C22" s="12">
        <v>2089</v>
      </c>
      <c r="D22" s="11">
        <v>268</v>
      </c>
      <c r="E22" s="23">
        <v>12.54681647940075</v>
      </c>
      <c r="F22" s="12">
        <v>4980</v>
      </c>
      <c r="G22" s="17">
        <v>4980</v>
      </c>
      <c r="H22" s="17">
        <f t="shared" si="1"/>
        <v>9960</v>
      </c>
      <c r="I22" s="17">
        <v>3000</v>
      </c>
      <c r="J22" s="17">
        <f t="shared" si="2"/>
        <v>-6960</v>
      </c>
      <c r="K22" s="10">
        <v>0</v>
      </c>
      <c r="L22" s="10">
        <v>0</v>
      </c>
      <c r="M22" s="10">
        <v>0</v>
      </c>
      <c r="N22" s="10">
        <v>0</v>
      </c>
      <c r="O22" s="12">
        <v>0</v>
      </c>
      <c r="P22" s="18">
        <v>0</v>
      </c>
      <c r="Q22" s="18">
        <f t="shared" si="3"/>
        <v>0</v>
      </c>
      <c r="R22" s="17">
        <v>0</v>
      </c>
      <c r="S22" s="18">
        <f t="shared" si="5"/>
        <v>0</v>
      </c>
      <c r="T22" s="12">
        <v>0</v>
      </c>
      <c r="U22" s="12">
        <v>0</v>
      </c>
      <c r="V22" s="19">
        <v>0</v>
      </c>
      <c r="W22" s="19">
        <f t="shared" si="6"/>
        <v>0</v>
      </c>
      <c r="X22" s="19"/>
      <c r="Y22" s="19">
        <f>-W22</f>
        <v>0</v>
      </c>
      <c r="Z22" s="12"/>
      <c r="AA22" s="21"/>
      <c r="AB22" s="18">
        <f t="shared" si="7"/>
        <v>0</v>
      </c>
      <c r="AC22" s="100">
        <f t="shared" si="8"/>
        <v>0</v>
      </c>
      <c r="AD22" s="108">
        <f t="shared" si="9"/>
        <v>-6960</v>
      </c>
      <c r="AE22" s="103"/>
      <c r="AF22" s="17"/>
      <c r="AG22" s="17"/>
      <c r="AH22" s="24">
        <f t="shared" si="10"/>
        <v>4980</v>
      </c>
      <c r="AI22" s="24">
        <f t="shared" si="0"/>
        <v>4980</v>
      </c>
      <c r="AJ22" s="24">
        <v>4979</v>
      </c>
      <c r="AK22" s="24">
        <f t="shared" si="11"/>
        <v>1</v>
      </c>
      <c r="AL22" s="24" t="s">
        <v>43</v>
      </c>
      <c r="AM22" s="24"/>
      <c r="AN22" s="24"/>
      <c r="AO22" s="24">
        <f t="shared" si="12"/>
        <v>0</v>
      </c>
      <c r="AP22" s="15"/>
      <c r="AQ22" s="15"/>
      <c r="AR22" s="15"/>
      <c r="AS22" s="15"/>
    </row>
    <row r="23" spans="1:45">
      <c r="A23" s="12" t="s">
        <v>62</v>
      </c>
      <c r="B23" s="17">
        <v>408</v>
      </c>
      <c r="C23" s="12">
        <v>430</v>
      </c>
      <c r="D23" s="17">
        <v>339</v>
      </c>
      <c r="E23" s="18">
        <v>83.088235294117652</v>
      </c>
      <c r="F23" s="24">
        <v>4980</v>
      </c>
      <c r="G23" s="17">
        <v>4980</v>
      </c>
      <c r="H23" s="17">
        <f t="shared" si="1"/>
        <v>9960</v>
      </c>
      <c r="I23" s="17">
        <v>3000</v>
      </c>
      <c r="J23" s="17">
        <f t="shared" si="2"/>
        <v>-6960</v>
      </c>
      <c r="K23" s="24">
        <v>1869</v>
      </c>
      <c r="L23" s="24">
        <v>24297</v>
      </c>
      <c r="M23" s="24">
        <v>163</v>
      </c>
      <c r="N23" s="24">
        <v>505.3</v>
      </c>
      <c r="O23" s="24">
        <v>24802.3</v>
      </c>
      <c r="P23" s="18">
        <v>26634.1</v>
      </c>
      <c r="Q23" s="18">
        <f t="shared" si="3"/>
        <v>51436.399999999994</v>
      </c>
      <c r="R23" s="17">
        <f t="shared" si="4"/>
        <v>72207</v>
      </c>
      <c r="S23" s="18">
        <f t="shared" si="5"/>
        <v>20770.600000000006</v>
      </c>
      <c r="T23" s="24">
        <v>175</v>
      </c>
      <c r="U23" s="24">
        <v>5775</v>
      </c>
      <c r="V23" s="19">
        <v>5676</v>
      </c>
      <c r="W23" s="19">
        <f t="shared" si="6"/>
        <v>11451</v>
      </c>
      <c r="X23" s="19"/>
      <c r="Y23" s="19">
        <f>-W23*Y2</f>
        <v>-11451</v>
      </c>
      <c r="Z23" s="24"/>
      <c r="AA23" s="21"/>
      <c r="AB23" s="18">
        <f t="shared" si="7"/>
        <v>0</v>
      </c>
      <c r="AC23" s="100">
        <f t="shared" si="8"/>
        <v>0</v>
      </c>
      <c r="AD23" s="109">
        <f t="shared" si="9"/>
        <v>2359.6000000000058</v>
      </c>
      <c r="AE23" s="103">
        <f>E23</f>
        <v>83.088235294117652</v>
      </c>
      <c r="AF23" s="17"/>
      <c r="AG23" s="17"/>
      <c r="AH23" s="24">
        <f t="shared" si="10"/>
        <v>29782.3</v>
      </c>
      <c r="AI23" s="24">
        <f t="shared" si="0"/>
        <v>35557.300000000003</v>
      </c>
      <c r="AJ23" s="24">
        <v>43067.9</v>
      </c>
      <c r="AK23" s="24">
        <f t="shared" si="11"/>
        <v>-7510.5999999999985</v>
      </c>
      <c r="AL23" s="24" t="s">
        <v>63</v>
      </c>
      <c r="AM23" s="24">
        <v>67085</v>
      </c>
      <c r="AN23" s="24"/>
      <c r="AO23" s="24">
        <f t="shared" si="12"/>
        <v>67085</v>
      </c>
      <c r="AP23" s="15"/>
      <c r="AQ23" s="15"/>
      <c r="AR23" s="15"/>
      <c r="AS23" s="15"/>
    </row>
    <row r="24" spans="1:45">
      <c r="A24" s="12" t="s">
        <v>64</v>
      </c>
      <c r="B24" s="17"/>
      <c r="C24" s="12">
        <v>873</v>
      </c>
      <c r="D24" s="17">
        <v>61</v>
      </c>
      <c r="E24" s="18">
        <f>D24/C24*100</f>
        <v>6.9873997709049256</v>
      </c>
      <c r="F24" s="24">
        <v>4980</v>
      </c>
      <c r="G24" s="17">
        <v>4980</v>
      </c>
      <c r="H24" s="17">
        <f t="shared" si="1"/>
        <v>9960</v>
      </c>
      <c r="I24" s="17">
        <v>3000</v>
      </c>
      <c r="J24" s="17">
        <f t="shared" si="2"/>
        <v>-6960</v>
      </c>
      <c r="K24" s="24"/>
      <c r="L24" s="24"/>
      <c r="M24" s="24"/>
      <c r="N24" s="24"/>
      <c r="O24" s="18">
        <v>4267.8</v>
      </c>
      <c r="P24" s="18">
        <v>4267.8</v>
      </c>
      <c r="Q24" s="18">
        <f t="shared" si="3"/>
        <v>8535.6</v>
      </c>
      <c r="R24" s="17">
        <f t="shared" si="4"/>
        <v>12993</v>
      </c>
      <c r="S24" s="18">
        <f t="shared" si="5"/>
        <v>4457.3999999999996</v>
      </c>
      <c r="T24" s="24"/>
      <c r="U24" s="24"/>
      <c r="V24" s="19">
        <v>0</v>
      </c>
      <c r="W24" s="19">
        <f t="shared" si="6"/>
        <v>0</v>
      </c>
      <c r="X24" s="19"/>
      <c r="Y24" s="19">
        <f>-W24</f>
        <v>0</v>
      </c>
      <c r="Z24" s="24"/>
      <c r="AA24" s="21">
        <v>0</v>
      </c>
      <c r="AB24" s="18">
        <f t="shared" si="7"/>
        <v>0</v>
      </c>
      <c r="AC24" s="100">
        <f t="shared" si="8"/>
        <v>0</v>
      </c>
      <c r="AD24" s="108">
        <f t="shared" si="9"/>
        <v>-2502.6000000000004</v>
      </c>
      <c r="AE24" s="103"/>
      <c r="AF24" s="17"/>
      <c r="AG24" s="17"/>
      <c r="AH24" s="24">
        <f t="shared" si="10"/>
        <v>9247.7999999999993</v>
      </c>
      <c r="AI24" s="24">
        <f t="shared" si="0"/>
        <v>9247.7999999999993</v>
      </c>
      <c r="AJ24" s="24">
        <v>10435.4</v>
      </c>
      <c r="AK24" s="24">
        <f t="shared" si="11"/>
        <v>-1187.6000000000004</v>
      </c>
      <c r="AL24" s="24"/>
      <c r="AM24" s="24"/>
      <c r="AN24" s="24"/>
      <c r="AO24" s="24">
        <f t="shared" si="12"/>
        <v>0</v>
      </c>
      <c r="AP24" s="15"/>
      <c r="AQ24" s="15"/>
      <c r="AR24" s="15"/>
      <c r="AS24" s="15"/>
    </row>
    <row r="25" spans="1:45" ht="30">
      <c r="A25" s="60" t="s">
        <v>65</v>
      </c>
      <c r="B25" s="17"/>
      <c r="C25" s="12"/>
      <c r="D25" s="17"/>
      <c r="E25" s="18"/>
      <c r="F25" s="24"/>
      <c r="G25" s="17"/>
      <c r="H25" s="17">
        <f t="shared" si="1"/>
        <v>0</v>
      </c>
      <c r="I25" s="17"/>
      <c r="J25" s="17">
        <f t="shared" si="2"/>
        <v>0</v>
      </c>
      <c r="K25" s="24"/>
      <c r="L25" s="24"/>
      <c r="M25" s="24"/>
      <c r="N25" s="24"/>
      <c r="O25" s="24"/>
      <c r="P25" s="18"/>
      <c r="Q25" s="18">
        <f t="shared" si="3"/>
        <v>0</v>
      </c>
      <c r="R25" s="17">
        <f t="shared" si="4"/>
        <v>0</v>
      </c>
      <c r="S25" s="18">
        <f t="shared" si="5"/>
        <v>0</v>
      </c>
      <c r="T25" s="24"/>
      <c r="U25" s="24"/>
      <c r="V25" s="19"/>
      <c r="W25" s="19">
        <f t="shared" si="6"/>
        <v>0</v>
      </c>
      <c r="X25" s="19"/>
      <c r="Y25" s="19">
        <f>-W25</f>
        <v>0</v>
      </c>
      <c r="Z25" s="24"/>
      <c r="AA25" s="21"/>
      <c r="AB25" s="18">
        <f t="shared" si="7"/>
        <v>0</v>
      </c>
      <c r="AC25" s="100">
        <f t="shared" si="8"/>
        <v>0</v>
      </c>
      <c r="AD25" s="109">
        <f t="shared" si="9"/>
        <v>0</v>
      </c>
      <c r="AE25" s="103"/>
      <c r="AF25" s="17"/>
      <c r="AG25" s="17"/>
      <c r="AH25" s="24">
        <f t="shared" si="10"/>
        <v>0</v>
      </c>
      <c r="AI25" s="24">
        <f t="shared" si="0"/>
        <v>0</v>
      </c>
      <c r="AJ25" s="24">
        <v>0</v>
      </c>
      <c r="AK25" s="24">
        <f t="shared" si="11"/>
        <v>0</v>
      </c>
      <c r="AL25" s="24"/>
      <c r="AM25" s="24"/>
      <c r="AN25" s="24"/>
      <c r="AO25" s="24">
        <f t="shared" si="12"/>
        <v>0</v>
      </c>
      <c r="AP25" s="15"/>
      <c r="AQ25" s="15"/>
      <c r="AR25" s="15"/>
      <c r="AS25" s="15"/>
    </row>
    <row r="26" spans="1:45">
      <c r="A26" s="12" t="s">
        <v>66</v>
      </c>
      <c r="B26" s="17">
        <v>382</v>
      </c>
      <c r="C26" s="12">
        <v>385</v>
      </c>
      <c r="D26" s="17">
        <v>359</v>
      </c>
      <c r="E26" s="18">
        <v>93.979057591623032</v>
      </c>
      <c r="F26" s="24">
        <v>4980</v>
      </c>
      <c r="G26" s="17">
        <v>4980</v>
      </c>
      <c r="H26" s="17">
        <f t="shared" si="1"/>
        <v>9960</v>
      </c>
      <c r="I26" s="17">
        <v>3000</v>
      </c>
      <c r="J26" s="17">
        <f t="shared" si="2"/>
        <v>-6960</v>
      </c>
      <c r="K26" s="24">
        <v>2094</v>
      </c>
      <c r="L26" s="24">
        <v>27222</v>
      </c>
      <c r="M26" s="24">
        <v>60</v>
      </c>
      <c r="N26" s="24">
        <v>186</v>
      </c>
      <c r="O26" s="24">
        <v>27408</v>
      </c>
      <c r="P26" s="18">
        <v>26902.799999999999</v>
      </c>
      <c r="Q26" s="18">
        <f t="shared" si="3"/>
        <v>54310.8</v>
      </c>
      <c r="R26" s="17">
        <f t="shared" si="4"/>
        <v>76467</v>
      </c>
      <c r="S26" s="18">
        <f t="shared" si="5"/>
        <v>22156.199999999997</v>
      </c>
      <c r="T26" s="24">
        <v>1786</v>
      </c>
      <c r="U26" s="24">
        <v>58938</v>
      </c>
      <c r="V26" s="19">
        <v>54912</v>
      </c>
      <c r="W26" s="19">
        <f t="shared" si="6"/>
        <v>113850</v>
      </c>
      <c r="X26" s="28">
        <f>W26/33</f>
        <v>3450</v>
      </c>
      <c r="Y26" s="19">
        <f>-W26*Y2</f>
        <v>-113850</v>
      </c>
      <c r="Z26" s="24"/>
      <c r="AA26" s="21"/>
      <c r="AB26" s="18">
        <f t="shared" si="7"/>
        <v>0</v>
      </c>
      <c r="AC26" s="100">
        <f t="shared" si="8"/>
        <v>0</v>
      </c>
      <c r="AD26" s="109">
        <f>J26+S26+Y26+AC26+AG26</f>
        <v>-12854.446937396919</v>
      </c>
      <c r="AE26" s="103">
        <f>E26</f>
        <v>93.979057591623032</v>
      </c>
      <c r="AF26" s="17">
        <f>X26*AE26/100</f>
        <v>3242.2774869109944</v>
      </c>
      <c r="AG26" s="17">
        <f>AF26*AG2/AF58</f>
        <v>85799.353062603084</v>
      </c>
      <c r="AH26" s="24">
        <f t="shared" si="10"/>
        <v>32388</v>
      </c>
      <c r="AI26" s="24">
        <f t="shared" si="0"/>
        <v>91326</v>
      </c>
      <c r="AJ26" s="24">
        <v>74137.8</v>
      </c>
      <c r="AK26" s="24">
        <f t="shared" si="11"/>
        <v>17188.199999999997</v>
      </c>
      <c r="AL26" s="24" t="s">
        <v>67</v>
      </c>
      <c r="AM26" s="24">
        <v>24100</v>
      </c>
      <c r="AN26" s="24"/>
      <c r="AO26" s="24">
        <f t="shared" si="12"/>
        <v>24100</v>
      </c>
      <c r="AP26" s="15"/>
      <c r="AQ26" s="15"/>
      <c r="AR26" s="15"/>
      <c r="AS26" s="15"/>
    </row>
    <row r="27" spans="1:45" ht="30">
      <c r="A27" s="60" t="s">
        <v>179</v>
      </c>
      <c r="B27" s="17"/>
      <c r="C27" s="12"/>
      <c r="D27" s="17"/>
      <c r="E27" s="18"/>
      <c r="F27" s="24"/>
      <c r="G27" s="17"/>
      <c r="H27" s="17">
        <f t="shared" si="1"/>
        <v>0</v>
      </c>
      <c r="I27" s="17"/>
      <c r="J27" s="17"/>
      <c r="K27" s="24"/>
      <c r="L27" s="24"/>
      <c r="M27" s="24"/>
      <c r="N27" s="24"/>
      <c r="O27" s="24"/>
      <c r="P27" s="18"/>
      <c r="Q27" s="18">
        <f t="shared" si="3"/>
        <v>0</v>
      </c>
      <c r="R27" s="17">
        <f t="shared" si="4"/>
        <v>0</v>
      </c>
      <c r="S27" s="18">
        <f t="shared" si="5"/>
        <v>0</v>
      </c>
      <c r="T27" s="24"/>
      <c r="U27" s="24"/>
      <c r="V27" s="19"/>
      <c r="W27" s="19">
        <f t="shared" si="6"/>
        <v>0</v>
      </c>
      <c r="X27" s="28"/>
      <c r="Y27" s="19">
        <f>-W27</f>
        <v>0</v>
      </c>
      <c r="Z27" s="24"/>
      <c r="AA27" s="21"/>
      <c r="AB27" s="18">
        <f t="shared" si="7"/>
        <v>0</v>
      </c>
      <c r="AC27" s="100">
        <f t="shared" si="8"/>
        <v>0</v>
      </c>
      <c r="AD27" s="109">
        <f t="shared" si="9"/>
        <v>0</v>
      </c>
      <c r="AE27" s="103">
        <f>E27</f>
        <v>0</v>
      </c>
      <c r="AF27" s="17">
        <f t="shared" ref="AF27" si="15">X27*AE27</f>
        <v>0</v>
      </c>
      <c r="AG27" s="17"/>
      <c r="AH27" s="24">
        <f t="shared" si="10"/>
        <v>0</v>
      </c>
      <c r="AI27" s="24">
        <f t="shared" si="0"/>
        <v>0</v>
      </c>
      <c r="AJ27" s="24">
        <v>0</v>
      </c>
      <c r="AK27" s="24">
        <f t="shared" si="11"/>
        <v>0</v>
      </c>
      <c r="AL27" s="24"/>
      <c r="AM27" s="24"/>
      <c r="AN27" s="24"/>
      <c r="AO27" s="24">
        <f t="shared" si="12"/>
        <v>0</v>
      </c>
      <c r="AP27" s="15"/>
      <c r="AQ27" s="15"/>
      <c r="AR27" s="15"/>
      <c r="AS27" s="15"/>
    </row>
    <row r="28" spans="1:45">
      <c r="A28" s="12" t="s">
        <v>68</v>
      </c>
      <c r="B28" s="17">
        <v>176</v>
      </c>
      <c r="C28" s="10">
        <v>191</v>
      </c>
      <c r="D28" s="17">
        <v>146</v>
      </c>
      <c r="E28" s="18">
        <v>82.954545454545453</v>
      </c>
      <c r="F28" s="24">
        <v>2489.5</v>
      </c>
      <c r="G28" s="17">
        <v>2490</v>
      </c>
      <c r="H28" s="17">
        <f t="shared" si="1"/>
        <v>4979.5</v>
      </c>
      <c r="I28" s="17">
        <v>3000</v>
      </c>
      <c r="J28" s="17">
        <f t="shared" si="2"/>
        <v>-1979.5</v>
      </c>
      <c r="K28" s="24">
        <v>870</v>
      </c>
      <c r="L28" s="24">
        <v>11310</v>
      </c>
      <c r="M28" s="24">
        <v>6</v>
      </c>
      <c r="N28" s="24">
        <v>18.600000000000001</v>
      </c>
      <c r="O28" s="24">
        <v>11328.6</v>
      </c>
      <c r="P28" s="18">
        <v>9973</v>
      </c>
      <c r="Q28" s="18">
        <f t="shared" si="3"/>
        <v>21301.599999999999</v>
      </c>
      <c r="R28" s="17">
        <f t="shared" si="4"/>
        <v>31098</v>
      </c>
      <c r="S28" s="18">
        <f t="shared" si="5"/>
        <v>9796.4000000000015</v>
      </c>
      <c r="T28" s="24">
        <v>446</v>
      </c>
      <c r="U28" s="24">
        <v>14718</v>
      </c>
      <c r="V28" s="12">
        <v>17836.5</v>
      </c>
      <c r="W28" s="19">
        <f t="shared" si="6"/>
        <v>32554.5</v>
      </c>
      <c r="X28" s="20">
        <f>W28/33</f>
        <v>986.5</v>
      </c>
      <c r="Y28" s="19">
        <f>-W28*Y2</f>
        <v>-32554.5</v>
      </c>
      <c r="Z28" s="24"/>
      <c r="AA28" s="21"/>
      <c r="AB28" s="18">
        <f t="shared" si="7"/>
        <v>0</v>
      </c>
      <c r="AC28" s="100">
        <f t="shared" si="8"/>
        <v>0</v>
      </c>
      <c r="AD28" s="108">
        <f>J28+S28+Y28+AC28+AG28</f>
        <v>-3081.9556683727569</v>
      </c>
      <c r="AE28" s="103">
        <f>E28</f>
        <v>82.954545454545453</v>
      </c>
      <c r="AF28" s="17">
        <f>X28*AE28/100</f>
        <v>818.34659090909088</v>
      </c>
      <c r="AG28" s="17">
        <f>AF28*AG2/AF58</f>
        <v>21655.644331627242</v>
      </c>
      <c r="AH28" s="24">
        <f t="shared" si="10"/>
        <v>13818.1</v>
      </c>
      <c r="AI28" s="24">
        <f t="shared" si="0"/>
        <v>28536.1</v>
      </c>
      <c r="AJ28" s="24">
        <v>28561.9</v>
      </c>
      <c r="AK28" s="24">
        <f t="shared" si="11"/>
        <v>-25.80000000000291</v>
      </c>
      <c r="AL28" s="24" t="s">
        <v>43</v>
      </c>
      <c r="AM28" s="24">
        <v>30545</v>
      </c>
      <c r="AN28" s="24"/>
      <c r="AO28" s="24">
        <f t="shared" si="12"/>
        <v>30545</v>
      </c>
      <c r="AP28" s="15"/>
      <c r="AQ28" s="15"/>
      <c r="AR28" s="35"/>
      <c r="AS28" s="15"/>
    </row>
    <row r="29" spans="1:45">
      <c r="A29" s="12" t="s">
        <v>69</v>
      </c>
      <c r="B29" s="17">
        <v>184</v>
      </c>
      <c r="C29" s="12">
        <v>173</v>
      </c>
      <c r="D29" s="17">
        <v>20</v>
      </c>
      <c r="E29" s="18">
        <v>10.869565217391305</v>
      </c>
      <c r="F29" s="24">
        <v>2489.5</v>
      </c>
      <c r="G29" s="17">
        <v>2490</v>
      </c>
      <c r="H29" s="17">
        <f t="shared" si="1"/>
        <v>4979.5</v>
      </c>
      <c r="I29" s="17">
        <v>3000</v>
      </c>
      <c r="J29" s="17">
        <f t="shared" si="2"/>
        <v>-1979.5</v>
      </c>
      <c r="K29" s="24">
        <v>114</v>
      </c>
      <c r="L29" s="24">
        <v>1482</v>
      </c>
      <c r="M29" s="24">
        <v>6</v>
      </c>
      <c r="N29" s="24">
        <v>18.600000000000001</v>
      </c>
      <c r="O29" s="24">
        <v>1500.6</v>
      </c>
      <c r="P29" s="18">
        <v>873</v>
      </c>
      <c r="Q29" s="18">
        <f t="shared" si="3"/>
        <v>2373.6</v>
      </c>
      <c r="R29" s="17">
        <f t="shared" si="4"/>
        <v>4260</v>
      </c>
      <c r="S29" s="18">
        <f t="shared" si="5"/>
        <v>1886.4</v>
      </c>
      <c r="T29" s="24">
        <v>48</v>
      </c>
      <c r="U29" s="24">
        <v>1584</v>
      </c>
      <c r="V29" s="19">
        <v>0</v>
      </c>
      <c r="W29" s="19">
        <f t="shared" si="6"/>
        <v>1584</v>
      </c>
      <c r="X29" s="19"/>
      <c r="Y29" s="19">
        <f>-W29*Y2</f>
        <v>-1584</v>
      </c>
      <c r="Z29" s="24">
        <f>[2]Svømmetimetilskud!J11</f>
        <v>620.86349478739248</v>
      </c>
      <c r="AA29" s="32">
        <v>650.34284974051502</v>
      </c>
      <c r="AB29" s="18">
        <f t="shared" si="7"/>
        <v>1271.2063445279075</v>
      </c>
      <c r="AC29" s="100">
        <f>-AB29/2</f>
        <v>-635.60317226395375</v>
      </c>
      <c r="AD29" s="108">
        <f t="shared" si="9"/>
        <v>-2312.7031722639535</v>
      </c>
      <c r="AE29" s="103">
        <f>E29</f>
        <v>10.869565217391305</v>
      </c>
      <c r="AF29" s="17"/>
      <c r="AG29" s="17"/>
      <c r="AH29" s="24">
        <f t="shared" si="10"/>
        <v>3990.1</v>
      </c>
      <c r="AI29" s="24">
        <f t="shared" si="0"/>
        <v>5574.1</v>
      </c>
      <c r="AJ29" s="24">
        <v>4885.3</v>
      </c>
      <c r="AK29" s="24">
        <f t="shared" si="11"/>
        <v>688.80000000000018</v>
      </c>
      <c r="AL29" s="24" t="s">
        <v>43</v>
      </c>
      <c r="AM29" s="24"/>
      <c r="AN29" s="24"/>
      <c r="AO29" s="24">
        <f t="shared" si="12"/>
        <v>0</v>
      </c>
      <c r="AP29" s="15"/>
      <c r="AQ29" s="15"/>
      <c r="AR29" s="15"/>
      <c r="AS29" s="15"/>
    </row>
    <row r="30" spans="1:45">
      <c r="A30" s="12" t="s">
        <v>70</v>
      </c>
      <c r="B30" s="17">
        <v>34</v>
      </c>
      <c r="C30" s="12">
        <v>33</v>
      </c>
      <c r="D30" s="17">
        <v>18</v>
      </c>
      <c r="E30" s="18">
        <v>52.941176470588239</v>
      </c>
      <c r="F30" s="24">
        <v>2489.5</v>
      </c>
      <c r="G30" s="17">
        <v>2490</v>
      </c>
      <c r="H30" s="17">
        <f t="shared" si="1"/>
        <v>4979.5</v>
      </c>
      <c r="I30" s="17">
        <v>3000</v>
      </c>
      <c r="J30" s="17">
        <f t="shared" si="2"/>
        <v>-1979.5</v>
      </c>
      <c r="K30" s="24">
        <v>104</v>
      </c>
      <c r="L30" s="24">
        <v>1352</v>
      </c>
      <c r="M30" s="24">
        <v>3</v>
      </c>
      <c r="N30" s="24">
        <v>9.3000000000000007</v>
      </c>
      <c r="O30" s="24">
        <v>1361.3</v>
      </c>
      <c r="P30" s="18">
        <v>936</v>
      </c>
      <c r="Q30" s="18">
        <f t="shared" si="3"/>
        <v>2297.3000000000002</v>
      </c>
      <c r="R30" s="17">
        <f t="shared" si="4"/>
        <v>3834</v>
      </c>
      <c r="S30" s="18">
        <f t="shared" si="5"/>
        <v>1536.6999999999998</v>
      </c>
      <c r="T30" s="24">
        <v>0</v>
      </c>
      <c r="U30" s="24">
        <v>0</v>
      </c>
      <c r="V30" s="19">
        <v>0</v>
      </c>
      <c r="W30" s="19">
        <f t="shared" si="6"/>
        <v>0</v>
      </c>
      <c r="X30" s="19"/>
      <c r="Y30" s="19">
        <f>-W30</f>
        <v>0</v>
      </c>
      <c r="Z30" s="24"/>
      <c r="AA30" s="21"/>
      <c r="AB30" s="18">
        <f t="shared" si="7"/>
        <v>0</v>
      </c>
      <c r="AC30" s="100">
        <f t="shared" si="8"/>
        <v>0</v>
      </c>
      <c r="AD30" s="109">
        <f t="shared" si="9"/>
        <v>-442.80000000000018</v>
      </c>
      <c r="AE30" s="103"/>
      <c r="AF30" s="17"/>
      <c r="AG30" s="17"/>
      <c r="AH30" s="24">
        <f t="shared" si="10"/>
        <v>3850.8</v>
      </c>
      <c r="AI30" s="24">
        <f t="shared" si="0"/>
        <v>3850.8</v>
      </c>
      <c r="AJ30" s="24">
        <v>3384.7</v>
      </c>
      <c r="AK30" s="24">
        <f t="shared" si="11"/>
        <v>466.10000000000036</v>
      </c>
      <c r="AL30" s="24" t="s">
        <v>43</v>
      </c>
      <c r="AM30" s="24">
        <v>1200</v>
      </c>
      <c r="AN30" s="24"/>
      <c r="AO30" s="24">
        <f t="shared" si="12"/>
        <v>1200</v>
      </c>
      <c r="AP30" s="15"/>
      <c r="AQ30" s="15"/>
      <c r="AR30" s="15"/>
      <c r="AS30" s="15"/>
    </row>
    <row r="31" spans="1:45">
      <c r="A31" s="12" t="s">
        <v>71</v>
      </c>
      <c r="B31" s="17"/>
      <c r="C31" s="12"/>
      <c r="D31" s="17"/>
      <c r="E31" s="18"/>
      <c r="F31" s="24"/>
      <c r="G31" s="17"/>
      <c r="H31" s="17">
        <f t="shared" si="1"/>
        <v>0</v>
      </c>
      <c r="I31" s="17">
        <v>3000</v>
      </c>
      <c r="J31" s="17">
        <f t="shared" si="2"/>
        <v>3000</v>
      </c>
      <c r="K31" s="24"/>
      <c r="L31" s="24"/>
      <c r="M31" s="24"/>
      <c r="N31" s="24"/>
      <c r="O31" s="24"/>
      <c r="P31" s="18"/>
      <c r="Q31" s="18">
        <f t="shared" si="3"/>
        <v>0</v>
      </c>
      <c r="R31" s="17">
        <f t="shared" si="4"/>
        <v>0</v>
      </c>
      <c r="S31" s="18">
        <f t="shared" si="5"/>
        <v>0</v>
      </c>
      <c r="T31" s="24"/>
      <c r="U31" s="24"/>
      <c r="V31" s="19"/>
      <c r="W31" s="19">
        <f t="shared" si="6"/>
        <v>0</v>
      </c>
      <c r="X31" s="19"/>
      <c r="Y31" s="19">
        <f>-W31</f>
        <v>0</v>
      </c>
      <c r="Z31" s="24"/>
      <c r="AA31" s="21"/>
      <c r="AB31" s="18">
        <f t="shared" si="7"/>
        <v>0</v>
      </c>
      <c r="AC31" s="100">
        <f t="shared" si="8"/>
        <v>0</v>
      </c>
      <c r="AD31" s="109">
        <f t="shared" si="9"/>
        <v>3000</v>
      </c>
      <c r="AE31" s="103"/>
      <c r="AF31" s="17"/>
      <c r="AG31" s="17"/>
      <c r="AH31" s="24">
        <f t="shared" si="10"/>
        <v>0</v>
      </c>
      <c r="AI31" s="24">
        <f t="shared" si="0"/>
        <v>0</v>
      </c>
      <c r="AJ31" s="24">
        <v>0</v>
      </c>
      <c r="AK31" s="24">
        <f t="shared" si="11"/>
        <v>0</v>
      </c>
      <c r="AL31" s="24"/>
      <c r="AM31" s="24"/>
      <c r="AN31" s="24"/>
      <c r="AO31" s="24">
        <f t="shared" si="12"/>
        <v>0</v>
      </c>
      <c r="AP31" s="15"/>
      <c r="AQ31" s="15"/>
      <c r="AR31" s="15"/>
      <c r="AS31" s="15"/>
    </row>
    <row r="32" spans="1:45">
      <c r="A32" s="12" t="s">
        <v>72</v>
      </c>
      <c r="B32" s="17"/>
      <c r="C32" s="12"/>
      <c r="D32" s="17"/>
      <c r="E32" s="18"/>
      <c r="F32" s="24">
        <v>2489.5</v>
      </c>
      <c r="G32" s="17"/>
      <c r="H32" s="17">
        <f t="shared" si="1"/>
        <v>2489.5</v>
      </c>
      <c r="I32" s="17">
        <v>3000</v>
      </c>
      <c r="J32" s="17">
        <f t="shared" si="2"/>
        <v>510.5</v>
      </c>
      <c r="K32" s="24"/>
      <c r="L32" s="24"/>
      <c r="M32" s="24"/>
      <c r="N32" s="24"/>
      <c r="O32" s="24"/>
      <c r="P32" s="18"/>
      <c r="Q32" s="18">
        <f t="shared" si="3"/>
        <v>0</v>
      </c>
      <c r="R32" s="17">
        <f t="shared" si="4"/>
        <v>0</v>
      </c>
      <c r="S32" s="18">
        <f t="shared" si="5"/>
        <v>0</v>
      </c>
      <c r="T32" s="24"/>
      <c r="U32" s="24"/>
      <c r="V32" s="19"/>
      <c r="W32" s="19">
        <f t="shared" si="6"/>
        <v>0</v>
      </c>
      <c r="X32" s="19"/>
      <c r="Y32" s="19">
        <f>-W32</f>
        <v>0</v>
      </c>
      <c r="Z32" s="24"/>
      <c r="AA32" s="21"/>
      <c r="AB32" s="18">
        <f t="shared" si="7"/>
        <v>0</v>
      </c>
      <c r="AC32" s="100">
        <f t="shared" si="8"/>
        <v>0</v>
      </c>
      <c r="AD32" s="109">
        <f t="shared" si="9"/>
        <v>510.5</v>
      </c>
      <c r="AE32" s="103"/>
      <c r="AF32" s="17"/>
      <c r="AG32" s="17"/>
      <c r="AH32" s="24"/>
      <c r="AI32" s="24">
        <f t="shared" si="0"/>
        <v>0</v>
      </c>
      <c r="AJ32" s="24">
        <v>5048.7</v>
      </c>
      <c r="AK32" s="24">
        <f t="shared" si="11"/>
        <v>-5048.7</v>
      </c>
      <c r="AL32" s="24"/>
      <c r="AM32" s="24"/>
      <c r="AN32" s="24"/>
      <c r="AO32" s="24">
        <f t="shared" si="12"/>
        <v>0</v>
      </c>
      <c r="AP32" s="15"/>
      <c r="AQ32" s="15"/>
      <c r="AR32" s="15"/>
      <c r="AS32" s="15"/>
    </row>
    <row r="33" spans="1:45">
      <c r="A33" s="12" t="s">
        <v>73</v>
      </c>
      <c r="B33" s="17">
        <v>121</v>
      </c>
      <c r="C33" s="12"/>
      <c r="D33" s="17">
        <v>10</v>
      </c>
      <c r="E33" s="18">
        <v>8.2644628099173563</v>
      </c>
      <c r="F33" s="24">
        <v>2489.5</v>
      </c>
      <c r="G33" s="17"/>
      <c r="H33" s="17">
        <f t="shared" si="1"/>
        <v>2489.5</v>
      </c>
      <c r="I33" s="17">
        <v>3000</v>
      </c>
      <c r="J33" s="17">
        <f t="shared" si="2"/>
        <v>510.5</v>
      </c>
      <c r="K33" s="24">
        <v>42</v>
      </c>
      <c r="L33" s="24">
        <v>546</v>
      </c>
      <c r="M33" s="24">
        <v>18</v>
      </c>
      <c r="N33" s="24">
        <v>55.800000000000004</v>
      </c>
      <c r="O33" s="24">
        <v>601.79999999999995</v>
      </c>
      <c r="P33" s="18"/>
      <c r="Q33" s="18">
        <f t="shared" si="3"/>
        <v>601.79999999999995</v>
      </c>
      <c r="R33" s="17">
        <f t="shared" si="4"/>
        <v>2130</v>
      </c>
      <c r="S33" s="18">
        <f t="shared" si="5"/>
        <v>1528.2</v>
      </c>
      <c r="T33" s="24">
        <v>15</v>
      </c>
      <c r="U33" s="24">
        <v>495</v>
      </c>
      <c r="V33" s="19"/>
      <c r="W33" s="19">
        <f t="shared" si="6"/>
        <v>495</v>
      </c>
      <c r="X33" s="19"/>
      <c r="Y33" s="19">
        <f>-W33*Y2</f>
        <v>-495</v>
      </c>
      <c r="Z33" s="24">
        <f>[2]Svømmetimetilskud!J13</f>
        <v>240.03127127233552</v>
      </c>
      <c r="AA33" s="36"/>
      <c r="AB33" s="18">
        <f t="shared" si="7"/>
        <v>240.03127127233552</v>
      </c>
      <c r="AC33" s="100">
        <f>-AB33/2</f>
        <v>-120.01563563616776</v>
      </c>
      <c r="AD33" s="109">
        <f t="shared" si="9"/>
        <v>1423.6843643638322</v>
      </c>
      <c r="AE33" s="103">
        <f>E33</f>
        <v>8.2644628099173563</v>
      </c>
      <c r="AF33" s="17"/>
      <c r="AG33" s="17"/>
      <c r="AH33" s="24">
        <f t="shared" si="10"/>
        <v>3091.3</v>
      </c>
      <c r="AI33" s="24">
        <f t="shared" si="0"/>
        <v>3586.3</v>
      </c>
      <c r="AJ33" s="24">
        <v>3679</v>
      </c>
      <c r="AK33" s="24">
        <f t="shared" si="11"/>
        <v>-92.699999999999818</v>
      </c>
      <c r="AL33" s="24" t="s">
        <v>43</v>
      </c>
      <c r="AM33" s="24">
        <v>999</v>
      </c>
      <c r="AN33" s="24"/>
      <c r="AO33" s="24">
        <f t="shared" si="12"/>
        <v>999</v>
      </c>
      <c r="AP33" s="15"/>
      <c r="AQ33" s="15"/>
      <c r="AR33" s="15"/>
      <c r="AS33" s="15"/>
    </row>
    <row r="34" spans="1:45">
      <c r="A34" s="12" t="s">
        <v>74</v>
      </c>
      <c r="B34" s="11">
        <v>245</v>
      </c>
      <c r="C34" s="10">
        <v>215</v>
      </c>
      <c r="D34" s="11">
        <v>41</v>
      </c>
      <c r="E34" s="23">
        <v>16.73469387755102</v>
      </c>
      <c r="F34" s="12">
        <v>2489.5</v>
      </c>
      <c r="G34" s="17">
        <v>2490</v>
      </c>
      <c r="H34" s="17">
        <f t="shared" si="1"/>
        <v>4979.5</v>
      </c>
      <c r="I34" s="17">
        <v>3000</v>
      </c>
      <c r="J34" s="17">
        <f t="shared" si="2"/>
        <v>-1979.5</v>
      </c>
      <c r="K34" s="12">
        <v>246</v>
      </c>
      <c r="L34" s="12">
        <v>3198</v>
      </c>
      <c r="M34" s="12">
        <v>0</v>
      </c>
      <c r="N34" s="12">
        <v>0</v>
      </c>
      <c r="O34" s="12">
        <v>3198</v>
      </c>
      <c r="P34" s="18">
        <v>2964</v>
      </c>
      <c r="Q34" s="18">
        <f t="shared" si="3"/>
        <v>6162</v>
      </c>
      <c r="R34" s="17">
        <f t="shared" si="4"/>
        <v>8733</v>
      </c>
      <c r="S34" s="18">
        <f t="shared" si="5"/>
        <v>2571</v>
      </c>
      <c r="T34" s="12">
        <v>0</v>
      </c>
      <c r="U34" s="12">
        <v>0</v>
      </c>
      <c r="V34" s="12">
        <v>0</v>
      </c>
      <c r="W34" s="19">
        <f t="shared" si="6"/>
        <v>0</v>
      </c>
      <c r="X34" s="19"/>
      <c r="Y34" s="19">
        <f>-W34</f>
        <v>0</v>
      </c>
      <c r="Z34" s="12"/>
      <c r="AA34" s="21"/>
      <c r="AB34" s="18">
        <f t="shared" si="7"/>
        <v>0</v>
      </c>
      <c r="AC34" s="100">
        <f t="shared" si="8"/>
        <v>0</v>
      </c>
      <c r="AD34" s="109">
        <f t="shared" si="9"/>
        <v>591.5</v>
      </c>
      <c r="AE34" s="103"/>
      <c r="AF34" s="17"/>
      <c r="AG34" s="17"/>
      <c r="AH34" s="24">
        <f t="shared" si="10"/>
        <v>5687.5</v>
      </c>
      <c r="AI34" s="24">
        <f t="shared" si="0"/>
        <v>5687.5</v>
      </c>
      <c r="AJ34" s="24">
        <v>5063.5</v>
      </c>
      <c r="AK34" s="24">
        <f t="shared" si="11"/>
        <v>624</v>
      </c>
      <c r="AL34" s="24" t="s">
        <v>43</v>
      </c>
      <c r="AM34" s="146">
        <v>16899.78</v>
      </c>
      <c r="AN34" s="147">
        <v>375</v>
      </c>
      <c r="AO34" s="24">
        <f t="shared" si="12"/>
        <v>17274.78</v>
      </c>
      <c r="AP34" s="15"/>
      <c r="AQ34" s="15"/>
      <c r="AR34" s="15"/>
      <c r="AS34" s="15"/>
    </row>
    <row r="35" spans="1:45">
      <c r="A35" s="12" t="s">
        <v>75</v>
      </c>
      <c r="B35" s="17">
        <v>60</v>
      </c>
      <c r="C35" s="12">
        <v>57</v>
      </c>
      <c r="D35" s="17">
        <v>17</v>
      </c>
      <c r="E35" s="18">
        <v>28.333333333333332</v>
      </c>
      <c r="F35" s="24">
        <v>2489.5</v>
      </c>
      <c r="G35" s="17">
        <v>2490</v>
      </c>
      <c r="H35" s="17">
        <f t="shared" si="1"/>
        <v>4979.5</v>
      </c>
      <c r="I35" s="17">
        <v>3000</v>
      </c>
      <c r="J35" s="17">
        <f t="shared" si="2"/>
        <v>-1979.5</v>
      </c>
      <c r="K35" s="24">
        <v>90</v>
      </c>
      <c r="L35" s="24">
        <v>1170</v>
      </c>
      <c r="M35" s="24">
        <v>0</v>
      </c>
      <c r="N35" s="24">
        <v>0</v>
      </c>
      <c r="O35" s="24">
        <v>1170</v>
      </c>
      <c r="P35" s="18">
        <v>798.6</v>
      </c>
      <c r="Q35" s="18">
        <f t="shared" si="3"/>
        <v>1968.6</v>
      </c>
      <c r="R35" s="17">
        <f t="shared" si="4"/>
        <v>3621</v>
      </c>
      <c r="S35" s="18">
        <f t="shared" si="5"/>
        <v>1652.4</v>
      </c>
      <c r="T35" s="24">
        <v>0</v>
      </c>
      <c r="U35" s="24">
        <v>0</v>
      </c>
      <c r="V35" s="19">
        <v>0</v>
      </c>
      <c r="W35" s="19">
        <f t="shared" si="6"/>
        <v>0</v>
      </c>
      <c r="X35" s="19"/>
      <c r="Y35" s="19">
        <f>-W35</f>
        <v>0</v>
      </c>
      <c r="Z35" s="24"/>
      <c r="AA35" s="21"/>
      <c r="AB35" s="18">
        <f t="shared" si="7"/>
        <v>0</v>
      </c>
      <c r="AC35" s="100">
        <f t="shared" si="8"/>
        <v>0</v>
      </c>
      <c r="AD35" s="109">
        <f t="shared" si="9"/>
        <v>-327.09999999999991</v>
      </c>
      <c r="AE35" s="103"/>
      <c r="AF35" s="17"/>
      <c r="AG35" s="17"/>
      <c r="AH35" s="24">
        <f t="shared" si="10"/>
        <v>3659.5</v>
      </c>
      <c r="AI35" s="24">
        <f t="shared" ref="AI35:AI57" si="16">U35+AH35</f>
        <v>3659.5</v>
      </c>
      <c r="AJ35" s="24">
        <v>3236.1</v>
      </c>
      <c r="AK35" s="24">
        <f t="shared" si="11"/>
        <v>423.40000000000009</v>
      </c>
      <c r="AL35" s="24" t="s">
        <v>43</v>
      </c>
      <c r="AM35" s="24"/>
      <c r="AN35" s="24"/>
      <c r="AO35" s="24">
        <f t="shared" si="12"/>
        <v>0</v>
      </c>
      <c r="AP35" s="15"/>
      <c r="AQ35" s="15"/>
      <c r="AR35" s="15"/>
      <c r="AS35" s="15"/>
    </row>
    <row r="36" spans="1:45">
      <c r="A36" s="12" t="s">
        <v>76</v>
      </c>
      <c r="B36" s="17">
        <v>100</v>
      </c>
      <c r="C36" s="12">
        <v>92</v>
      </c>
      <c r="D36" s="17">
        <v>53</v>
      </c>
      <c r="E36" s="18">
        <v>53</v>
      </c>
      <c r="F36" s="24">
        <v>2489.5</v>
      </c>
      <c r="G36" s="17">
        <v>2490</v>
      </c>
      <c r="H36" s="17">
        <f t="shared" si="1"/>
        <v>4979.5</v>
      </c>
      <c r="I36" s="17">
        <v>3000</v>
      </c>
      <c r="J36" s="17">
        <f t="shared" si="2"/>
        <v>-1979.5</v>
      </c>
      <c r="K36" s="24">
        <v>223</v>
      </c>
      <c r="L36" s="24">
        <v>2899</v>
      </c>
      <c r="M36" s="24">
        <v>5</v>
      </c>
      <c r="N36" s="24">
        <v>15.5</v>
      </c>
      <c r="O36" s="24">
        <v>2914.5</v>
      </c>
      <c r="P36" s="18">
        <v>2196.4</v>
      </c>
      <c r="Q36" s="18">
        <f t="shared" si="3"/>
        <v>5110.8999999999996</v>
      </c>
      <c r="R36" s="17">
        <f t="shared" si="4"/>
        <v>11289</v>
      </c>
      <c r="S36" s="18">
        <f t="shared" si="5"/>
        <v>6178.1</v>
      </c>
      <c r="T36" s="24">
        <v>47.5</v>
      </c>
      <c r="U36" s="24">
        <v>1567.5</v>
      </c>
      <c r="V36" s="19">
        <v>1485</v>
      </c>
      <c r="W36" s="19">
        <f t="shared" si="6"/>
        <v>3052.5</v>
      </c>
      <c r="X36" s="19"/>
      <c r="Y36" s="19">
        <f>-W36*Y2</f>
        <v>-3052.5</v>
      </c>
      <c r="Z36" s="24"/>
      <c r="AA36" s="21">
        <v>0</v>
      </c>
      <c r="AB36" s="18">
        <f t="shared" si="7"/>
        <v>0</v>
      </c>
      <c r="AC36" s="100">
        <f t="shared" si="8"/>
        <v>0</v>
      </c>
      <c r="AD36" s="108">
        <f t="shared" si="9"/>
        <v>1146.1000000000004</v>
      </c>
      <c r="AE36" s="103">
        <f>E36</f>
        <v>53</v>
      </c>
      <c r="AF36" s="22"/>
      <c r="AG36" s="22"/>
      <c r="AH36" s="24">
        <f t="shared" si="10"/>
        <v>5404</v>
      </c>
      <c r="AI36" s="24">
        <f t="shared" si="16"/>
        <v>6971.5</v>
      </c>
      <c r="AJ36" s="24">
        <v>7602.5</v>
      </c>
      <c r="AK36" s="24">
        <f t="shared" si="11"/>
        <v>-631</v>
      </c>
      <c r="AL36" s="24" t="s">
        <v>43</v>
      </c>
      <c r="AM36" s="24"/>
      <c r="AN36" s="24"/>
      <c r="AO36" s="24">
        <f t="shared" si="12"/>
        <v>0</v>
      </c>
      <c r="AP36" s="15"/>
      <c r="AQ36" s="15"/>
      <c r="AR36" s="15"/>
      <c r="AS36" s="15"/>
    </row>
    <row r="37" spans="1:45" ht="30">
      <c r="A37" s="60" t="s">
        <v>77</v>
      </c>
      <c r="B37" s="17"/>
      <c r="C37" s="37"/>
      <c r="D37" s="17"/>
      <c r="E37" s="18"/>
      <c r="F37" s="24"/>
      <c r="G37" s="22"/>
      <c r="H37" s="17">
        <f t="shared" si="1"/>
        <v>0</v>
      </c>
      <c r="I37" s="17"/>
      <c r="J37" s="17">
        <f t="shared" si="2"/>
        <v>0</v>
      </c>
      <c r="K37" s="24"/>
      <c r="L37" s="24"/>
      <c r="M37" s="24"/>
      <c r="N37" s="24"/>
      <c r="O37" s="24"/>
      <c r="P37" s="130"/>
      <c r="Q37" s="18">
        <f t="shared" si="3"/>
        <v>0</v>
      </c>
      <c r="R37" s="17">
        <f t="shared" si="4"/>
        <v>0</v>
      </c>
      <c r="S37" s="18">
        <f t="shared" si="5"/>
        <v>0</v>
      </c>
      <c r="T37" s="24"/>
      <c r="U37" s="24"/>
      <c r="V37" s="132"/>
      <c r="W37" s="19">
        <f t="shared" si="6"/>
        <v>0</v>
      </c>
      <c r="X37" s="19"/>
      <c r="Y37" s="19">
        <f>-W37</f>
        <v>0</v>
      </c>
      <c r="Z37" s="24"/>
      <c r="AA37" s="37"/>
      <c r="AB37" s="18">
        <f t="shared" si="7"/>
        <v>0</v>
      </c>
      <c r="AC37" s="100">
        <f t="shared" si="8"/>
        <v>0</v>
      </c>
      <c r="AD37" s="109">
        <f t="shared" si="9"/>
        <v>0</v>
      </c>
      <c r="AE37" s="103">
        <f>E37</f>
        <v>0</v>
      </c>
      <c r="AF37" s="17"/>
      <c r="AG37" s="17"/>
      <c r="AH37" s="24">
        <f t="shared" si="10"/>
        <v>0</v>
      </c>
      <c r="AI37" s="24">
        <f t="shared" si="16"/>
        <v>0</v>
      </c>
      <c r="AJ37" s="24">
        <v>0</v>
      </c>
      <c r="AK37" s="24">
        <f t="shared" si="11"/>
        <v>0</v>
      </c>
      <c r="AL37" s="24"/>
      <c r="AM37" s="24"/>
      <c r="AN37" s="24"/>
      <c r="AO37" s="24">
        <f t="shared" si="12"/>
        <v>0</v>
      </c>
      <c r="AP37" s="15"/>
      <c r="AQ37" s="15"/>
      <c r="AR37" s="15"/>
      <c r="AS37" s="15"/>
    </row>
    <row r="38" spans="1:45">
      <c r="A38" s="12" t="s">
        <v>78</v>
      </c>
      <c r="B38" s="17">
        <v>107</v>
      </c>
      <c r="C38" s="12">
        <v>126</v>
      </c>
      <c r="D38" s="17">
        <v>83</v>
      </c>
      <c r="E38" s="18">
        <v>77.570093457943926</v>
      </c>
      <c r="F38" s="24">
        <v>2489.5</v>
      </c>
      <c r="G38" s="17">
        <v>2490</v>
      </c>
      <c r="H38" s="17">
        <f t="shared" si="1"/>
        <v>4979.5</v>
      </c>
      <c r="I38" s="17">
        <v>3000</v>
      </c>
      <c r="J38" s="17">
        <f t="shared" si="2"/>
        <v>-1979.5</v>
      </c>
      <c r="K38" s="24">
        <v>505</v>
      </c>
      <c r="L38" s="24">
        <v>6565</v>
      </c>
      <c r="M38" s="24">
        <v>23</v>
      </c>
      <c r="N38" s="24">
        <v>71.3</v>
      </c>
      <c r="O38" s="24">
        <v>6636.3</v>
      </c>
      <c r="P38" s="18">
        <v>6230.2</v>
      </c>
      <c r="Q38" s="18">
        <f t="shared" si="3"/>
        <v>12866.5</v>
      </c>
      <c r="R38" s="17">
        <f t="shared" si="4"/>
        <v>17679</v>
      </c>
      <c r="S38" s="18">
        <f t="shared" si="5"/>
        <v>4812.5</v>
      </c>
      <c r="T38" s="24">
        <v>0</v>
      </c>
      <c r="U38" s="24">
        <v>0</v>
      </c>
      <c r="V38" s="19">
        <v>0</v>
      </c>
      <c r="W38" s="19">
        <f t="shared" si="6"/>
        <v>0</v>
      </c>
      <c r="X38" s="19"/>
      <c r="Y38" s="19">
        <f>-W38</f>
        <v>0</v>
      </c>
      <c r="Z38" s="24"/>
      <c r="AA38" s="21"/>
      <c r="AB38" s="18">
        <f t="shared" si="7"/>
        <v>0</v>
      </c>
      <c r="AC38" s="100">
        <f t="shared" si="8"/>
        <v>0</v>
      </c>
      <c r="AD38" s="109">
        <f t="shared" si="9"/>
        <v>2833</v>
      </c>
      <c r="AE38" s="103"/>
      <c r="AF38" s="17"/>
      <c r="AG38" s="17"/>
      <c r="AH38" s="24">
        <f t="shared" si="10"/>
        <v>9125.7999999999993</v>
      </c>
      <c r="AI38" s="24">
        <f t="shared" si="16"/>
        <v>9125.7999999999993</v>
      </c>
      <c r="AJ38" s="24">
        <v>7014.8</v>
      </c>
      <c r="AK38" s="24">
        <f t="shared" si="11"/>
        <v>2110.9999999999991</v>
      </c>
      <c r="AL38" s="24" t="s">
        <v>79</v>
      </c>
      <c r="AM38" s="24"/>
      <c r="AN38" s="24"/>
      <c r="AO38" s="24">
        <f t="shared" si="12"/>
        <v>0</v>
      </c>
      <c r="AP38" s="15"/>
      <c r="AQ38" s="15"/>
      <c r="AR38" s="15"/>
      <c r="AS38" s="15"/>
    </row>
    <row r="39" spans="1:45">
      <c r="A39" s="12" t="s">
        <v>80</v>
      </c>
      <c r="B39" s="17">
        <v>153</v>
      </c>
      <c r="C39" s="12">
        <v>113</v>
      </c>
      <c r="D39" s="17">
        <v>109</v>
      </c>
      <c r="E39" s="18">
        <v>71.24183006535948</v>
      </c>
      <c r="F39" s="24">
        <v>2489.5</v>
      </c>
      <c r="G39" s="17">
        <v>2490</v>
      </c>
      <c r="H39" s="17">
        <f t="shared" si="1"/>
        <v>4979.5</v>
      </c>
      <c r="I39" s="17">
        <v>3000</v>
      </c>
      <c r="J39" s="17">
        <f t="shared" si="2"/>
        <v>-1979.5</v>
      </c>
      <c r="K39" s="24">
        <v>597</v>
      </c>
      <c r="L39" s="24">
        <v>7761</v>
      </c>
      <c r="M39" s="24">
        <v>24</v>
      </c>
      <c r="N39" s="24">
        <v>74.400000000000006</v>
      </c>
      <c r="O39" s="24">
        <v>7835.4</v>
      </c>
      <c r="P39" s="18">
        <v>6589.2</v>
      </c>
      <c r="Q39" s="18">
        <f t="shared" si="3"/>
        <v>14424.599999999999</v>
      </c>
      <c r="R39" s="17">
        <f t="shared" si="4"/>
        <v>23217</v>
      </c>
      <c r="S39" s="18">
        <f t="shared" si="5"/>
        <v>8792.4000000000015</v>
      </c>
      <c r="T39" s="24">
        <v>0</v>
      </c>
      <c r="U39" s="24">
        <v>0</v>
      </c>
      <c r="V39" s="19">
        <v>0</v>
      </c>
      <c r="W39" s="19">
        <f t="shared" si="6"/>
        <v>0</v>
      </c>
      <c r="X39" s="19"/>
      <c r="Y39" s="19">
        <f>-W39</f>
        <v>0</v>
      </c>
      <c r="Z39" s="24"/>
      <c r="AA39" s="21"/>
      <c r="AB39" s="18">
        <f t="shared" si="7"/>
        <v>0</v>
      </c>
      <c r="AC39" s="100">
        <f t="shared" si="8"/>
        <v>0</v>
      </c>
      <c r="AD39" s="109">
        <f t="shared" si="9"/>
        <v>6812.9000000000015</v>
      </c>
      <c r="AE39" s="103"/>
      <c r="AF39" s="17"/>
      <c r="AG39" s="17"/>
      <c r="AH39" s="24">
        <f t="shared" si="10"/>
        <v>10324.9</v>
      </c>
      <c r="AI39" s="24">
        <f t="shared" si="16"/>
        <v>10324.9</v>
      </c>
      <c r="AJ39" s="24">
        <v>9745.5</v>
      </c>
      <c r="AK39" s="24">
        <f t="shared" si="11"/>
        <v>579.39999999999964</v>
      </c>
      <c r="AL39" s="24" t="s">
        <v>43</v>
      </c>
      <c r="AM39" s="24">
        <v>50878.14</v>
      </c>
      <c r="AN39" s="24">
        <v>3626</v>
      </c>
      <c r="AO39" s="24">
        <f t="shared" si="12"/>
        <v>54504.14</v>
      </c>
      <c r="AP39" s="15"/>
      <c r="AQ39" s="15"/>
      <c r="AR39" s="15"/>
      <c r="AS39" s="15"/>
    </row>
    <row r="40" spans="1:45">
      <c r="A40" s="12" t="s">
        <v>81</v>
      </c>
      <c r="B40" s="17">
        <v>149</v>
      </c>
      <c r="C40" s="12">
        <v>141</v>
      </c>
      <c r="D40" s="17">
        <v>76</v>
      </c>
      <c r="E40" s="18">
        <v>51.006711409395976</v>
      </c>
      <c r="F40" s="24">
        <v>2489.5</v>
      </c>
      <c r="G40" s="17">
        <v>2490</v>
      </c>
      <c r="H40" s="17">
        <f t="shared" si="1"/>
        <v>4979.5</v>
      </c>
      <c r="I40" s="17">
        <v>3000</v>
      </c>
      <c r="J40" s="17">
        <f t="shared" si="2"/>
        <v>-1979.5</v>
      </c>
      <c r="K40" s="24">
        <v>409</v>
      </c>
      <c r="L40" s="24">
        <v>5317</v>
      </c>
      <c r="M40" s="24">
        <v>42</v>
      </c>
      <c r="N40" s="24">
        <v>130.20000000000002</v>
      </c>
      <c r="O40" s="24">
        <v>5447.2</v>
      </c>
      <c r="P40" s="18">
        <v>5085</v>
      </c>
      <c r="Q40" s="18">
        <f t="shared" si="3"/>
        <v>10532.2</v>
      </c>
      <c r="R40" s="17">
        <f t="shared" si="4"/>
        <v>16188</v>
      </c>
      <c r="S40" s="18">
        <f t="shared" si="5"/>
        <v>5655.7999999999993</v>
      </c>
      <c r="T40" s="24">
        <v>34.5</v>
      </c>
      <c r="U40" s="24">
        <v>1138.5</v>
      </c>
      <c r="V40" s="19">
        <v>1485</v>
      </c>
      <c r="W40" s="19">
        <f t="shared" si="6"/>
        <v>2623.5</v>
      </c>
      <c r="X40" s="19"/>
      <c r="Y40" s="19">
        <f>-W40*Y2</f>
        <v>-2623.5</v>
      </c>
      <c r="Z40" s="24"/>
      <c r="AA40" s="21"/>
      <c r="AB40" s="18">
        <f t="shared" si="7"/>
        <v>0</v>
      </c>
      <c r="AC40" s="100">
        <f t="shared" si="8"/>
        <v>0</v>
      </c>
      <c r="AD40" s="108">
        <f t="shared" si="9"/>
        <v>1052.7999999999993</v>
      </c>
      <c r="AE40" s="103">
        <f>E40</f>
        <v>51.006711409395976</v>
      </c>
      <c r="AF40" s="22"/>
      <c r="AG40" s="22"/>
      <c r="AH40" s="24">
        <f t="shared" si="10"/>
        <v>7936.7</v>
      </c>
      <c r="AI40" s="24">
        <f t="shared" si="16"/>
        <v>9075.2000000000007</v>
      </c>
      <c r="AJ40" s="24">
        <v>9457.9</v>
      </c>
      <c r="AK40" s="24">
        <f t="shared" si="11"/>
        <v>-382.69999999999891</v>
      </c>
      <c r="AL40" s="24"/>
      <c r="AM40" s="24"/>
      <c r="AN40" s="24"/>
      <c r="AO40" s="24">
        <f t="shared" si="12"/>
        <v>0</v>
      </c>
      <c r="AP40" s="15"/>
      <c r="AQ40" s="15"/>
      <c r="AR40" s="15"/>
      <c r="AS40" s="15"/>
    </row>
    <row r="41" spans="1:45">
      <c r="A41" s="12" t="s">
        <v>82</v>
      </c>
      <c r="B41" s="17">
        <v>261</v>
      </c>
      <c r="C41" s="12">
        <v>244</v>
      </c>
      <c r="D41" s="17">
        <v>70</v>
      </c>
      <c r="E41" s="18">
        <v>26.819923371647509</v>
      </c>
      <c r="F41" s="24">
        <v>2489.5</v>
      </c>
      <c r="G41" s="17">
        <v>2490</v>
      </c>
      <c r="H41" s="17">
        <f t="shared" si="1"/>
        <v>4979.5</v>
      </c>
      <c r="I41" s="17">
        <v>3000</v>
      </c>
      <c r="J41" s="17">
        <f t="shared" si="2"/>
        <v>-1979.5</v>
      </c>
      <c r="K41" s="24">
        <v>366</v>
      </c>
      <c r="L41" s="24">
        <v>4758</v>
      </c>
      <c r="M41" s="24">
        <v>54</v>
      </c>
      <c r="N41" s="24">
        <v>167.4</v>
      </c>
      <c r="O41" s="24">
        <v>4925.3999999999996</v>
      </c>
      <c r="P41" s="18">
        <v>5512.2</v>
      </c>
      <c r="Q41" s="18">
        <f t="shared" si="3"/>
        <v>10437.599999999999</v>
      </c>
      <c r="R41" s="17">
        <f t="shared" si="4"/>
        <v>14910</v>
      </c>
      <c r="S41" s="18">
        <f t="shared" si="5"/>
        <v>4472.4000000000015</v>
      </c>
      <c r="T41" s="24">
        <v>0</v>
      </c>
      <c r="U41" s="24">
        <v>0</v>
      </c>
      <c r="V41" s="19">
        <v>0</v>
      </c>
      <c r="W41" s="19">
        <f t="shared" si="6"/>
        <v>0</v>
      </c>
      <c r="X41" s="19"/>
      <c r="Y41" s="19">
        <f>-W41</f>
        <v>0</v>
      </c>
      <c r="Z41" s="24">
        <f>[2]Svømmetimetilskud!J6</f>
        <v>2142.1181555980361</v>
      </c>
      <c r="AA41" s="32">
        <v>2074.9364639691153</v>
      </c>
      <c r="AB41" s="18">
        <f t="shared" si="7"/>
        <v>4217.0546195671513</v>
      </c>
      <c r="AC41" s="100">
        <f>-AB41/2</f>
        <v>-2108.5273097835757</v>
      </c>
      <c r="AD41" s="108">
        <f t="shared" si="9"/>
        <v>384.37269021642578</v>
      </c>
      <c r="AE41" s="103"/>
      <c r="AF41" s="22"/>
      <c r="AG41" s="22"/>
      <c r="AH41" s="24">
        <f t="shared" si="10"/>
        <v>7414.9</v>
      </c>
      <c r="AI41" s="24">
        <f t="shared" si="16"/>
        <v>7414.9</v>
      </c>
      <c r="AJ41" s="24">
        <v>7459.3</v>
      </c>
      <c r="AK41" s="24">
        <f t="shared" si="11"/>
        <v>-44.400000000000546</v>
      </c>
      <c r="AL41" s="24" t="s">
        <v>43</v>
      </c>
      <c r="AM41" s="24">
        <v>8546.9599999999991</v>
      </c>
      <c r="AN41" s="24"/>
      <c r="AO41" s="24">
        <f t="shared" si="12"/>
        <v>8546.9599999999991</v>
      </c>
      <c r="AP41" s="15"/>
      <c r="AQ41" s="15"/>
      <c r="AR41" s="15"/>
      <c r="AS41" s="15"/>
    </row>
    <row r="42" spans="1:45">
      <c r="A42" s="12" t="s">
        <v>83</v>
      </c>
      <c r="B42" s="11">
        <v>13</v>
      </c>
      <c r="C42" s="12">
        <v>12</v>
      </c>
      <c r="D42" s="11">
        <v>13</v>
      </c>
      <c r="E42" s="23">
        <v>100</v>
      </c>
      <c r="F42" s="14">
        <v>2489.5</v>
      </c>
      <c r="G42" s="17">
        <v>2490</v>
      </c>
      <c r="H42" s="17">
        <f t="shared" si="1"/>
        <v>4979.5</v>
      </c>
      <c r="I42" s="17">
        <v>3000</v>
      </c>
      <c r="J42" s="17">
        <f t="shared" si="2"/>
        <v>-1979.5</v>
      </c>
      <c r="K42" s="24">
        <v>61</v>
      </c>
      <c r="L42" s="24">
        <v>793</v>
      </c>
      <c r="M42" s="24">
        <v>0</v>
      </c>
      <c r="N42" s="24">
        <v>0</v>
      </c>
      <c r="O42" s="24">
        <v>793</v>
      </c>
      <c r="P42" s="18">
        <v>624</v>
      </c>
      <c r="Q42" s="18">
        <f t="shared" si="3"/>
        <v>1417</v>
      </c>
      <c r="R42" s="17">
        <f t="shared" si="4"/>
        <v>2769</v>
      </c>
      <c r="S42" s="18">
        <f t="shared" si="5"/>
        <v>1352</v>
      </c>
      <c r="T42" s="24">
        <v>258</v>
      </c>
      <c r="U42" s="24">
        <v>8514</v>
      </c>
      <c r="V42" s="19">
        <v>6600</v>
      </c>
      <c r="W42" s="19">
        <f t="shared" si="6"/>
        <v>15114</v>
      </c>
      <c r="X42" s="19">
        <f>W42/33</f>
        <v>458</v>
      </c>
      <c r="Y42" s="19">
        <f>-W42*Y2</f>
        <v>-15114</v>
      </c>
      <c r="Z42" s="24"/>
      <c r="AA42" s="21"/>
      <c r="AB42" s="18">
        <f t="shared" si="7"/>
        <v>0</v>
      </c>
      <c r="AC42" s="100">
        <f t="shared" si="8"/>
        <v>0</v>
      </c>
      <c r="AD42" s="109">
        <f>J42+S42+Y42+AC42+AG42</f>
        <v>-3621.5923544299512</v>
      </c>
      <c r="AE42" s="103">
        <f>E42</f>
        <v>100</v>
      </c>
      <c r="AF42" s="17">
        <f>X42*AE42/100</f>
        <v>458</v>
      </c>
      <c r="AG42" s="17">
        <f>AF42*AG2/AF58</f>
        <v>12119.907645570049</v>
      </c>
      <c r="AH42" s="24">
        <f t="shared" si="10"/>
        <v>3282.5</v>
      </c>
      <c r="AI42" s="24">
        <f t="shared" si="16"/>
        <v>11796.5</v>
      </c>
      <c r="AJ42" s="24">
        <v>11795.5</v>
      </c>
      <c r="AK42" s="24">
        <f t="shared" si="11"/>
        <v>1</v>
      </c>
      <c r="AL42" s="24"/>
      <c r="AM42" s="24"/>
      <c r="AN42" s="24"/>
      <c r="AO42" s="24">
        <f t="shared" si="12"/>
        <v>0</v>
      </c>
      <c r="AP42" s="15"/>
      <c r="AQ42" s="15"/>
      <c r="AR42" s="15"/>
      <c r="AS42" s="15"/>
    </row>
    <row r="43" spans="1:45">
      <c r="A43" s="12" t="s">
        <v>84</v>
      </c>
      <c r="B43" s="11">
        <v>11</v>
      </c>
      <c r="C43" s="12">
        <v>13</v>
      </c>
      <c r="D43" s="11">
        <v>10</v>
      </c>
      <c r="E43" s="23">
        <v>90.909090909090907</v>
      </c>
      <c r="F43" s="14">
        <v>2489.5</v>
      </c>
      <c r="G43" s="17">
        <v>2490</v>
      </c>
      <c r="H43" s="17">
        <f t="shared" si="1"/>
        <v>4979.5</v>
      </c>
      <c r="I43" s="17">
        <v>3000</v>
      </c>
      <c r="J43" s="17">
        <f t="shared" si="2"/>
        <v>-1979.5</v>
      </c>
      <c r="K43" s="24">
        <v>58</v>
      </c>
      <c r="L43" s="24">
        <v>754</v>
      </c>
      <c r="M43" s="24">
        <v>2</v>
      </c>
      <c r="N43" s="24">
        <v>6.2</v>
      </c>
      <c r="O43" s="24">
        <v>760.2</v>
      </c>
      <c r="P43" s="18">
        <v>858</v>
      </c>
      <c r="Q43" s="18">
        <f t="shared" si="3"/>
        <v>1618.2</v>
      </c>
      <c r="R43" s="17">
        <f t="shared" si="4"/>
        <v>2130</v>
      </c>
      <c r="S43" s="18">
        <f t="shared" si="5"/>
        <v>511.79999999999995</v>
      </c>
      <c r="T43" s="24">
        <v>0</v>
      </c>
      <c r="U43" s="24">
        <v>0</v>
      </c>
      <c r="V43" s="19">
        <v>0</v>
      </c>
      <c r="W43" s="19">
        <f t="shared" si="6"/>
        <v>0</v>
      </c>
      <c r="X43" s="19"/>
      <c r="Y43" s="19">
        <f>-W43</f>
        <v>0</v>
      </c>
      <c r="Z43" s="24"/>
      <c r="AA43" s="21"/>
      <c r="AB43" s="18">
        <f t="shared" si="7"/>
        <v>0</v>
      </c>
      <c r="AC43" s="100">
        <f t="shared" si="8"/>
        <v>0</v>
      </c>
      <c r="AD43" s="109">
        <f t="shared" si="9"/>
        <v>-1467.7</v>
      </c>
      <c r="AE43" s="103"/>
      <c r="AF43" s="17"/>
      <c r="AG43" s="17"/>
      <c r="AH43" s="24">
        <f t="shared" si="10"/>
        <v>3249.7</v>
      </c>
      <c r="AI43" s="24">
        <f t="shared" si="16"/>
        <v>3249.7</v>
      </c>
      <c r="AJ43" s="24">
        <v>3269.5</v>
      </c>
      <c r="AK43" s="24">
        <f t="shared" si="11"/>
        <v>-19.800000000000182</v>
      </c>
      <c r="AL43" s="24"/>
      <c r="AM43" s="24"/>
      <c r="AN43" s="24"/>
      <c r="AO43" s="24">
        <f t="shared" si="12"/>
        <v>0</v>
      </c>
      <c r="AP43" s="15"/>
      <c r="AQ43" s="15"/>
      <c r="AR43" s="15"/>
      <c r="AS43" s="15"/>
    </row>
    <row r="44" spans="1:45">
      <c r="A44" s="12" t="s">
        <v>85</v>
      </c>
      <c r="B44" s="17"/>
      <c r="C44" s="12">
        <v>31</v>
      </c>
      <c r="D44" s="17"/>
      <c r="E44" s="18"/>
      <c r="F44" s="24"/>
      <c r="G44" s="17">
        <v>2490</v>
      </c>
      <c r="H44" s="17">
        <f t="shared" si="1"/>
        <v>2490</v>
      </c>
      <c r="I44" s="17">
        <v>3000</v>
      </c>
      <c r="J44" s="17">
        <f t="shared" si="2"/>
        <v>510</v>
      </c>
      <c r="K44" s="24"/>
      <c r="L44" s="24"/>
      <c r="M44" s="24"/>
      <c r="N44" s="24"/>
      <c r="O44" s="24"/>
      <c r="P44" s="18">
        <v>1612</v>
      </c>
      <c r="Q44" s="18">
        <f t="shared" si="3"/>
        <v>1612</v>
      </c>
      <c r="R44" s="17">
        <f t="shared" si="4"/>
        <v>0</v>
      </c>
      <c r="S44" s="18">
        <f t="shared" si="5"/>
        <v>-1612</v>
      </c>
      <c r="T44" s="24"/>
      <c r="U44" s="24"/>
      <c r="V44" s="19">
        <v>0</v>
      </c>
      <c r="W44" s="19">
        <f t="shared" si="6"/>
        <v>0</v>
      </c>
      <c r="X44" s="19"/>
      <c r="Y44" s="19">
        <f>-W44</f>
        <v>0</v>
      </c>
      <c r="Z44" s="24"/>
      <c r="AA44" s="21"/>
      <c r="AB44" s="18">
        <f t="shared" si="7"/>
        <v>0</v>
      </c>
      <c r="AC44" s="100">
        <f t="shared" si="8"/>
        <v>0</v>
      </c>
      <c r="AD44" s="109">
        <f t="shared" si="9"/>
        <v>-1102</v>
      </c>
      <c r="AE44" s="103"/>
      <c r="AF44" s="17"/>
      <c r="AG44" s="17"/>
      <c r="AH44" s="24">
        <f t="shared" si="10"/>
        <v>0</v>
      </c>
      <c r="AI44" s="24">
        <f t="shared" si="16"/>
        <v>0</v>
      </c>
      <c r="AJ44" s="24">
        <v>4153.5</v>
      </c>
      <c r="AK44" s="24">
        <f t="shared" si="11"/>
        <v>-4153.5</v>
      </c>
      <c r="AL44" s="24"/>
      <c r="AM44" s="24"/>
      <c r="AN44" s="24"/>
      <c r="AO44" s="24">
        <f t="shared" si="12"/>
        <v>0</v>
      </c>
      <c r="AP44" s="15"/>
      <c r="AQ44" s="15"/>
      <c r="AR44" s="15"/>
      <c r="AS44" s="15"/>
    </row>
    <row r="45" spans="1:45">
      <c r="A45" s="12" t="s">
        <v>86</v>
      </c>
      <c r="B45" s="17">
        <v>522</v>
      </c>
      <c r="C45" s="12">
        <v>537</v>
      </c>
      <c r="D45" s="17">
        <v>371</v>
      </c>
      <c r="E45" s="18">
        <v>71.072796934865906</v>
      </c>
      <c r="F45" s="12">
        <v>4980</v>
      </c>
      <c r="G45" s="17">
        <v>4980</v>
      </c>
      <c r="H45" s="17">
        <f t="shared" si="1"/>
        <v>9960</v>
      </c>
      <c r="I45" s="17">
        <v>3000</v>
      </c>
      <c r="J45" s="17">
        <f t="shared" si="2"/>
        <v>-6960</v>
      </c>
      <c r="K45" s="12">
        <v>1298</v>
      </c>
      <c r="L45" s="12">
        <v>16874</v>
      </c>
      <c r="M45" s="12">
        <v>8</v>
      </c>
      <c r="N45" s="12">
        <v>24.8</v>
      </c>
      <c r="O45" s="12">
        <v>16898.8</v>
      </c>
      <c r="P45" s="18">
        <v>17175.3</v>
      </c>
      <c r="Q45" s="18">
        <f t="shared" si="3"/>
        <v>34074.1</v>
      </c>
      <c r="R45" s="17">
        <f t="shared" si="4"/>
        <v>79023</v>
      </c>
      <c r="S45" s="18">
        <f t="shared" si="5"/>
        <v>44948.9</v>
      </c>
      <c r="T45" s="12">
        <v>16</v>
      </c>
      <c r="U45" s="12">
        <v>528</v>
      </c>
      <c r="V45" s="19">
        <v>0</v>
      </c>
      <c r="W45" s="19">
        <f t="shared" si="6"/>
        <v>528</v>
      </c>
      <c r="X45" s="19"/>
      <c r="Y45" s="19">
        <f>-W45*Y2</f>
        <v>-528</v>
      </c>
      <c r="Z45" s="12"/>
      <c r="AA45" s="21">
        <v>0</v>
      </c>
      <c r="AB45" s="18">
        <f t="shared" si="7"/>
        <v>0</v>
      </c>
      <c r="AC45" s="100">
        <f t="shared" si="8"/>
        <v>0</v>
      </c>
      <c r="AD45" s="108">
        <f t="shared" si="9"/>
        <v>37460.9</v>
      </c>
      <c r="AE45" s="103">
        <f>E45</f>
        <v>71.072796934865906</v>
      </c>
      <c r="AF45" s="22"/>
      <c r="AG45" s="22"/>
      <c r="AH45" s="24">
        <f t="shared" si="10"/>
        <v>21878.799999999999</v>
      </c>
      <c r="AI45" s="24">
        <f t="shared" si="16"/>
        <v>22406.799999999999</v>
      </c>
      <c r="AJ45" s="24">
        <v>21876.3</v>
      </c>
      <c r="AK45" s="24">
        <f t="shared" si="11"/>
        <v>530.5</v>
      </c>
      <c r="AL45" s="24" t="s">
        <v>43</v>
      </c>
      <c r="AM45" s="148">
        <v>35124.699999999997</v>
      </c>
      <c r="AN45" s="24"/>
      <c r="AO45" s="24">
        <f t="shared" si="12"/>
        <v>35124.699999999997</v>
      </c>
      <c r="AP45" s="15"/>
      <c r="AQ45" s="15"/>
      <c r="AR45" s="38"/>
      <c r="AS45" s="15"/>
    </row>
    <row r="46" spans="1:45">
      <c r="A46" s="12" t="s">
        <v>87</v>
      </c>
      <c r="B46" s="17">
        <v>71</v>
      </c>
      <c r="C46" s="12"/>
      <c r="D46" s="17">
        <v>21</v>
      </c>
      <c r="E46" s="18">
        <v>29.577464788732392</v>
      </c>
      <c r="F46" s="24">
        <v>2489.5</v>
      </c>
      <c r="G46" s="17"/>
      <c r="H46" s="17">
        <f t="shared" si="1"/>
        <v>2489.5</v>
      </c>
      <c r="I46" s="17">
        <v>3000</v>
      </c>
      <c r="J46" s="17">
        <f t="shared" si="2"/>
        <v>510.5</v>
      </c>
      <c r="K46" s="24">
        <v>90</v>
      </c>
      <c r="L46" s="24">
        <v>1170</v>
      </c>
      <c r="M46" s="24">
        <v>36</v>
      </c>
      <c r="N46" s="24">
        <v>111.60000000000001</v>
      </c>
      <c r="O46" s="24">
        <v>1281.5999999999999</v>
      </c>
      <c r="P46" s="18"/>
      <c r="Q46" s="18">
        <f t="shared" si="3"/>
        <v>1281.5999999999999</v>
      </c>
      <c r="R46" s="17">
        <f t="shared" si="4"/>
        <v>4473</v>
      </c>
      <c r="S46" s="18">
        <f t="shared" si="5"/>
        <v>3191.4</v>
      </c>
      <c r="T46" s="24">
        <v>0</v>
      </c>
      <c r="U46" s="24">
        <v>0</v>
      </c>
      <c r="V46" s="19"/>
      <c r="W46" s="19">
        <f t="shared" si="6"/>
        <v>0</v>
      </c>
      <c r="X46" s="19"/>
      <c r="Y46" s="19">
        <f>-W46</f>
        <v>0</v>
      </c>
      <c r="Z46" s="24"/>
      <c r="AA46" s="21">
        <v>0</v>
      </c>
      <c r="AB46" s="18">
        <f t="shared" si="7"/>
        <v>0</v>
      </c>
      <c r="AC46" s="100">
        <f t="shared" si="8"/>
        <v>0</v>
      </c>
      <c r="AD46" s="109">
        <f t="shared" si="9"/>
        <v>3701.9</v>
      </c>
      <c r="AE46" s="103"/>
      <c r="AF46" s="17"/>
      <c r="AG46" s="17"/>
      <c r="AH46" s="24">
        <f t="shared" si="10"/>
        <v>3771.1</v>
      </c>
      <c r="AI46" s="24">
        <f t="shared" si="16"/>
        <v>3771.1</v>
      </c>
      <c r="AJ46" s="24">
        <v>3667.3</v>
      </c>
      <c r="AK46" s="24">
        <f t="shared" si="11"/>
        <v>103.79999999999973</v>
      </c>
      <c r="AL46" s="24" t="s">
        <v>43</v>
      </c>
      <c r="AM46" s="24"/>
      <c r="AN46" s="24"/>
      <c r="AO46" s="24">
        <f t="shared" si="12"/>
        <v>0</v>
      </c>
      <c r="AP46" s="15"/>
      <c r="AQ46" s="15"/>
      <c r="AR46" s="15"/>
      <c r="AS46" s="15"/>
    </row>
    <row r="47" spans="1:45">
      <c r="A47" s="12" t="s">
        <v>88</v>
      </c>
      <c r="B47" s="11">
        <v>96</v>
      </c>
      <c r="C47" s="12">
        <v>73</v>
      </c>
      <c r="D47" s="11">
        <v>78</v>
      </c>
      <c r="E47" s="23">
        <v>81.25</v>
      </c>
      <c r="F47" s="12">
        <v>2489.5</v>
      </c>
      <c r="G47" s="17">
        <v>2490</v>
      </c>
      <c r="H47" s="17">
        <f t="shared" si="1"/>
        <v>4979.5</v>
      </c>
      <c r="I47" s="17">
        <v>3000</v>
      </c>
      <c r="J47" s="17">
        <f t="shared" si="2"/>
        <v>-1979.5</v>
      </c>
      <c r="K47" s="12">
        <v>401</v>
      </c>
      <c r="L47" s="12">
        <v>5213</v>
      </c>
      <c r="M47" s="12">
        <v>12</v>
      </c>
      <c r="N47" s="12">
        <v>37.200000000000003</v>
      </c>
      <c r="O47" s="12">
        <v>5250.2</v>
      </c>
      <c r="P47" s="18">
        <v>4047.4</v>
      </c>
      <c r="Q47" s="18">
        <f t="shared" si="3"/>
        <v>9297.6</v>
      </c>
      <c r="R47" s="17">
        <f t="shared" si="4"/>
        <v>16614</v>
      </c>
      <c r="S47" s="18">
        <f t="shared" si="5"/>
        <v>7316.4</v>
      </c>
      <c r="T47" s="12">
        <v>0</v>
      </c>
      <c r="U47" s="12">
        <v>0</v>
      </c>
      <c r="V47" s="19">
        <v>0</v>
      </c>
      <c r="W47" s="19">
        <f t="shared" si="6"/>
        <v>0</v>
      </c>
      <c r="X47" s="19"/>
      <c r="Y47" s="19">
        <f>-W47</f>
        <v>0</v>
      </c>
      <c r="Z47" s="12"/>
      <c r="AA47" s="21"/>
      <c r="AB47" s="18">
        <f t="shared" si="7"/>
        <v>0</v>
      </c>
      <c r="AC47" s="100">
        <f t="shared" si="8"/>
        <v>0</v>
      </c>
      <c r="AD47" s="109">
        <f t="shared" si="9"/>
        <v>5336.9</v>
      </c>
      <c r="AE47" s="103"/>
      <c r="AF47" s="17"/>
      <c r="AG47" s="17"/>
      <c r="AH47" s="24">
        <f t="shared" si="10"/>
        <v>7739.7</v>
      </c>
      <c r="AI47" s="24">
        <f t="shared" si="16"/>
        <v>7739.7</v>
      </c>
      <c r="AJ47" s="24">
        <v>7199.3</v>
      </c>
      <c r="AK47" s="24">
        <f t="shared" si="11"/>
        <v>540.39999999999964</v>
      </c>
      <c r="AL47" s="24"/>
      <c r="AM47" s="24"/>
      <c r="AN47" s="24"/>
      <c r="AO47" s="24">
        <f t="shared" si="12"/>
        <v>0</v>
      </c>
      <c r="AP47" s="15"/>
      <c r="AQ47" s="15"/>
      <c r="AR47" s="15"/>
      <c r="AS47" s="15"/>
    </row>
    <row r="48" spans="1:45">
      <c r="A48" s="12" t="s">
        <v>89</v>
      </c>
      <c r="B48" s="17">
        <v>557</v>
      </c>
      <c r="C48" s="12">
        <v>631</v>
      </c>
      <c r="D48" s="17">
        <v>450</v>
      </c>
      <c r="E48" s="18">
        <v>80.789946140035909</v>
      </c>
      <c r="F48" s="24">
        <v>4980</v>
      </c>
      <c r="G48" s="17">
        <v>4980</v>
      </c>
      <c r="H48" s="17">
        <f t="shared" si="1"/>
        <v>9960</v>
      </c>
      <c r="I48" s="17">
        <v>3000</v>
      </c>
      <c r="J48" s="17">
        <f t="shared" si="2"/>
        <v>-6960</v>
      </c>
      <c r="K48" s="24">
        <v>2530</v>
      </c>
      <c r="L48" s="24">
        <v>32890</v>
      </c>
      <c r="M48" s="24">
        <v>142</v>
      </c>
      <c r="N48" s="24">
        <v>440.2</v>
      </c>
      <c r="O48" s="24">
        <v>33330.199999999997</v>
      </c>
      <c r="P48" s="18">
        <v>33472.400000000001</v>
      </c>
      <c r="Q48" s="18">
        <f t="shared" si="3"/>
        <v>66802.600000000006</v>
      </c>
      <c r="R48" s="17">
        <f t="shared" si="4"/>
        <v>95850</v>
      </c>
      <c r="S48" s="18">
        <f t="shared" si="5"/>
        <v>29047.399999999994</v>
      </c>
      <c r="T48" s="24">
        <v>277</v>
      </c>
      <c r="U48" s="24">
        <v>9141</v>
      </c>
      <c r="V48" s="19">
        <v>14421</v>
      </c>
      <c r="W48" s="19">
        <f t="shared" si="6"/>
        <v>23562</v>
      </c>
      <c r="X48" s="19"/>
      <c r="Y48" s="19">
        <f>-W48*Y2</f>
        <v>-23562</v>
      </c>
      <c r="Z48" s="24"/>
      <c r="AA48" s="21"/>
      <c r="AB48" s="18">
        <f t="shared" si="7"/>
        <v>0</v>
      </c>
      <c r="AC48" s="100">
        <f t="shared" si="8"/>
        <v>0</v>
      </c>
      <c r="AD48" s="108">
        <f t="shared" si="9"/>
        <v>-1474.6000000000058</v>
      </c>
      <c r="AE48" s="103">
        <f>E48</f>
        <v>80.789946140035909</v>
      </c>
      <c r="AF48" s="22"/>
      <c r="AG48" s="22"/>
      <c r="AH48" s="24">
        <f t="shared" si="10"/>
        <v>38310.199999999997</v>
      </c>
      <c r="AI48" s="24">
        <f t="shared" si="16"/>
        <v>47451.199999999997</v>
      </c>
      <c r="AJ48" s="24">
        <v>44742.3</v>
      </c>
      <c r="AK48" s="24">
        <f t="shared" si="11"/>
        <v>2708.8999999999942</v>
      </c>
      <c r="AL48" s="24" t="s">
        <v>90</v>
      </c>
      <c r="AM48" s="24">
        <v>85400</v>
      </c>
      <c r="AN48" s="24"/>
      <c r="AO48" s="24">
        <f t="shared" si="12"/>
        <v>85400</v>
      </c>
      <c r="AP48" s="15"/>
      <c r="AQ48" s="15"/>
      <c r="AR48" s="15"/>
      <c r="AS48" s="15"/>
    </row>
    <row r="49" spans="1:45">
      <c r="A49" s="12" t="s">
        <v>91</v>
      </c>
      <c r="B49" s="17"/>
      <c r="C49" s="12"/>
      <c r="D49" s="17"/>
      <c r="E49" s="18"/>
      <c r="F49" s="24"/>
      <c r="G49" s="17"/>
      <c r="H49" s="17">
        <f t="shared" si="1"/>
        <v>0</v>
      </c>
      <c r="I49" s="17"/>
      <c r="J49" s="17">
        <f t="shared" si="2"/>
        <v>0</v>
      </c>
      <c r="K49" s="24"/>
      <c r="L49" s="24"/>
      <c r="M49" s="24"/>
      <c r="N49" s="24"/>
      <c r="O49" s="24"/>
      <c r="P49" s="18"/>
      <c r="Q49" s="18">
        <f t="shared" si="3"/>
        <v>0</v>
      </c>
      <c r="R49" s="17">
        <f t="shared" si="4"/>
        <v>0</v>
      </c>
      <c r="S49" s="18">
        <f t="shared" si="5"/>
        <v>0</v>
      </c>
      <c r="T49" s="24"/>
      <c r="U49" s="24"/>
      <c r="V49" s="19"/>
      <c r="W49" s="19">
        <f t="shared" si="6"/>
        <v>0</v>
      </c>
      <c r="X49" s="19"/>
      <c r="Y49" s="19">
        <f t="shared" ref="Y49:Y55" si="17">-W49</f>
        <v>0</v>
      </c>
      <c r="Z49" s="24"/>
      <c r="AA49" s="21"/>
      <c r="AB49" s="18">
        <f t="shared" si="7"/>
        <v>0</v>
      </c>
      <c r="AC49" s="100">
        <f t="shared" si="8"/>
        <v>0</v>
      </c>
      <c r="AD49" s="109">
        <f t="shared" si="9"/>
        <v>0</v>
      </c>
      <c r="AE49" s="103"/>
      <c r="AF49" s="17"/>
      <c r="AG49" s="17"/>
      <c r="AH49" s="24">
        <f t="shared" si="10"/>
        <v>0</v>
      </c>
      <c r="AI49" s="24">
        <f t="shared" si="16"/>
        <v>0</v>
      </c>
      <c r="AJ49" s="24">
        <v>2489.5</v>
      </c>
      <c r="AK49" s="24">
        <f t="shared" si="11"/>
        <v>-2489.5</v>
      </c>
      <c r="AL49" s="24"/>
      <c r="AM49" s="24"/>
      <c r="AN49" s="24"/>
      <c r="AO49" s="24">
        <f t="shared" si="12"/>
        <v>0</v>
      </c>
      <c r="AP49" s="15"/>
      <c r="AQ49" s="15"/>
      <c r="AR49" s="15"/>
      <c r="AS49" s="15"/>
    </row>
    <row r="50" spans="1:45">
      <c r="A50" s="12" t="s">
        <v>92</v>
      </c>
      <c r="B50" s="17">
        <v>615</v>
      </c>
      <c r="C50" s="12">
        <v>555</v>
      </c>
      <c r="D50" s="17">
        <v>216</v>
      </c>
      <c r="E50" s="18">
        <v>35.121951219512191</v>
      </c>
      <c r="F50" s="24">
        <v>4980</v>
      </c>
      <c r="G50" s="17">
        <v>4980</v>
      </c>
      <c r="H50" s="17">
        <f t="shared" si="1"/>
        <v>9960</v>
      </c>
      <c r="I50" s="17">
        <v>3000</v>
      </c>
      <c r="J50" s="17">
        <f t="shared" si="2"/>
        <v>-6960</v>
      </c>
      <c r="K50" s="24">
        <v>864</v>
      </c>
      <c r="L50" s="24">
        <v>11232</v>
      </c>
      <c r="M50" s="24">
        <v>0</v>
      </c>
      <c r="N50" s="24">
        <v>0</v>
      </c>
      <c r="O50" s="24">
        <v>11232</v>
      </c>
      <c r="P50" s="18">
        <v>9308</v>
      </c>
      <c r="Q50" s="18">
        <f t="shared" si="3"/>
        <v>20540</v>
      </c>
      <c r="R50" s="17">
        <f t="shared" si="4"/>
        <v>46008</v>
      </c>
      <c r="S50" s="18">
        <f t="shared" si="5"/>
        <v>25468</v>
      </c>
      <c r="T50" s="24">
        <v>0</v>
      </c>
      <c r="U50" s="24">
        <v>0</v>
      </c>
      <c r="V50" s="19">
        <v>0</v>
      </c>
      <c r="W50" s="19">
        <f t="shared" si="6"/>
        <v>0</v>
      </c>
      <c r="X50" s="19"/>
      <c r="Y50" s="19">
        <f t="shared" si="17"/>
        <v>0</v>
      </c>
      <c r="Z50" s="24"/>
      <c r="AA50" s="21"/>
      <c r="AB50" s="18">
        <f t="shared" si="7"/>
        <v>0</v>
      </c>
      <c r="AC50" s="100">
        <f t="shared" si="8"/>
        <v>0</v>
      </c>
      <c r="AD50" s="108">
        <f t="shared" si="9"/>
        <v>18508</v>
      </c>
      <c r="AE50" s="103"/>
      <c r="AF50" s="22"/>
      <c r="AG50" s="22"/>
      <c r="AH50" s="24">
        <f t="shared" si="10"/>
        <v>16212</v>
      </c>
      <c r="AI50" s="24">
        <f t="shared" si="16"/>
        <v>16212</v>
      </c>
      <c r="AJ50" s="24">
        <v>13987.4</v>
      </c>
      <c r="AK50" s="24">
        <f t="shared" si="11"/>
        <v>2224.6000000000004</v>
      </c>
      <c r="AL50" s="24" t="s">
        <v>79</v>
      </c>
      <c r="AM50" s="24">
        <v>40058</v>
      </c>
      <c r="AN50" s="24">
        <v>200</v>
      </c>
      <c r="AO50" s="24">
        <f t="shared" si="12"/>
        <v>40258</v>
      </c>
      <c r="AP50" s="15"/>
      <c r="AQ50" s="15"/>
      <c r="AR50" s="15"/>
      <c r="AS50" s="15"/>
    </row>
    <row r="51" spans="1:45" ht="30">
      <c r="A51" s="60" t="s">
        <v>93</v>
      </c>
      <c r="B51" s="17"/>
      <c r="C51" s="12">
        <v>173</v>
      </c>
      <c r="D51" s="17"/>
      <c r="E51" s="18"/>
      <c r="F51" s="24"/>
      <c r="G51" s="11">
        <v>2490</v>
      </c>
      <c r="H51" s="17">
        <f t="shared" si="1"/>
        <v>2490</v>
      </c>
      <c r="I51" s="17">
        <v>3000</v>
      </c>
      <c r="J51" s="17">
        <f t="shared" si="2"/>
        <v>510</v>
      </c>
      <c r="K51" s="24"/>
      <c r="L51" s="24"/>
      <c r="M51" s="24"/>
      <c r="N51" s="24"/>
      <c r="O51" s="24"/>
      <c r="P51" s="18">
        <v>596.5</v>
      </c>
      <c r="Q51" s="18">
        <f t="shared" si="3"/>
        <v>596.5</v>
      </c>
      <c r="R51" s="17">
        <f t="shared" si="4"/>
        <v>0</v>
      </c>
      <c r="S51" s="18">
        <f t="shared" si="5"/>
        <v>-596.5</v>
      </c>
      <c r="T51" s="24"/>
      <c r="U51" s="24"/>
      <c r="V51" s="12">
        <v>0</v>
      </c>
      <c r="W51" s="19">
        <f t="shared" si="6"/>
        <v>0</v>
      </c>
      <c r="X51" s="19"/>
      <c r="Y51" s="19">
        <f t="shared" si="17"/>
        <v>0</v>
      </c>
      <c r="Z51" s="24"/>
      <c r="AA51" s="21"/>
      <c r="AB51" s="18">
        <f t="shared" si="7"/>
        <v>0</v>
      </c>
      <c r="AC51" s="100">
        <f t="shared" si="8"/>
        <v>0</v>
      </c>
      <c r="AD51" s="109">
        <f t="shared" si="9"/>
        <v>-86.5</v>
      </c>
      <c r="AE51" s="103"/>
      <c r="AF51" s="17"/>
      <c r="AG51" s="17"/>
      <c r="AH51" s="24">
        <f t="shared" si="10"/>
        <v>0</v>
      </c>
      <c r="AI51" s="24">
        <f t="shared" si="16"/>
        <v>0</v>
      </c>
      <c r="AJ51" s="24">
        <v>2489.5</v>
      </c>
      <c r="AK51" s="24">
        <f t="shared" si="11"/>
        <v>-2489.5</v>
      </c>
      <c r="AL51" s="24"/>
      <c r="AM51" s="24"/>
      <c r="AN51" s="24"/>
      <c r="AO51" s="24">
        <f t="shared" si="12"/>
        <v>0</v>
      </c>
      <c r="AP51" s="15"/>
      <c r="AQ51" s="15"/>
      <c r="AR51" s="15"/>
      <c r="AS51" s="15"/>
    </row>
    <row r="52" spans="1:45">
      <c r="A52" s="12" t="s">
        <v>94</v>
      </c>
      <c r="B52" s="11">
        <v>58</v>
      </c>
      <c r="C52" s="10">
        <v>58</v>
      </c>
      <c r="D52" s="11">
        <v>11</v>
      </c>
      <c r="E52" s="23">
        <v>18.96551724137931</v>
      </c>
      <c r="F52" s="12">
        <v>2489.5</v>
      </c>
      <c r="G52" s="11">
        <v>2490</v>
      </c>
      <c r="H52" s="17">
        <f t="shared" si="1"/>
        <v>4979.5</v>
      </c>
      <c r="I52" s="17">
        <v>3000</v>
      </c>
      <c r="J52" s="17">
        <f t="shared" si="2"/>
        <v>-1979.5</v>
      </c>
      <c r="K52" s="12">
        <v>66</v>
      </c>
      <c r="L52" s="12">
        <v>858</v>
      </c>
      <c r="M52" s="12">
        <v>0</v>
      </c>
      <c r="N52" s="12">
        <v>0</v>
      </c>
      <c r="O52" s="12">
        <v>858</v>
      </c>
      <c r="P52" s="18">
        <v>873.5</v>
      </c>
      <c r="Q52" s="18">
        <f t="shared" si="3"/>
        <v>1731.5</v>
      </c>
      <c r="R52" s="17">
        <f t="shared" si="4"/>
        <v>2343</v>
      </c>
      <c r="S52" s="18">
        <f t="shared" si="5"/>
        <v>611.5</v>
      </c>
      <c r="T52" s="12">
        <v>0</v>
      </c>
      <c r="U52" s="12">
        <v>0</v>
      </c>
      <c r="V52" s="12">
        <v>0</v>
      </c>
      <c r="W52" s="19">
        <f t="shared" si="6"/>
        <v>0</v>
      </c>
      <c r="X52" s="19"/>
      <c r="Y52" s="19">
        <f t="shared" si="17"/>
        <v>0</v>
      </c>
      <c r="Z52" s="12"/>
      <c r="AA52" s="21"/>
      <c r="AB52" s="18">
        <f t="shared" si="7"/>
        <v>0</v>
      </c>
      <c r="AC52" s="100">
        <f t="shared" si="8"/>
        <v>0</v>
      </c>
      <c r="AD52" s="109">
        <f t="shared" si="9"/>
        <v>-1368</v>
      </c>
      <c r="AE52" s="103"/>
      <c r="AF52" s="17"/>
      <c r="AG52" s="17"/>
      <c r="AH52" s="24">
        <f t="shared" si="10"/>
        <v>3347.5</v>
      </c>
      <c r="AI52" s="24">
        <f t="shared" si="16"/>
        <v>3347.5</v>
      </c>
      <c r="AJ52" s="24">
        <v>3392.7</v>
      </c>
      <c r="AK52" s="24">
        <f t="shared" si="11"/>
        <v>-45.199999999999818</v>
      </c>
      <c r="AL52" s="24" t="s">
        <v>43</v>
      </c>
      <c r="AM52" s="24"/>
      <c r="AN52" s="24"/>
      <c r="AO52" s="24">
        <f t="shared" si="12"/>
        <v>0</v>
      </c>
      <c r="AP52" s="15"/>
      <c r="AQ52" s="15"/>
      <c r="AR52" s="15"/>
      <c r="AS52" s="15"/>
    </row>
    <row r="53" spans="1:45">
      <c r="A53" s="12" t="s">
        <v>95</v>
      </c>
      <c r="B53" s="17">
        <v>258</v>
      </c>
      <c r="C53" s="12">
        <v>257</v>
      </c>
      <c r="D53" s="17">
        <v>26</v>
      </c>
      <c r="E53" s="18">
        <v>10.077519379844961</v>
      </c>
      <c r="F53" s="24">
        <v>2489.5</v>
      </c>
      <c r="G53" s="17">
        <v>2490</v>
      </c>
      <c r="H53" s="17">
        <f t="shared" si="1"/>
        <v>4979.5</v>
      </c>
      <c r="I53" s="17">
        <v>3000</v>
      </c>
      <c r="J53" s="17">
        <f t="shared" si="2"/>
        <v>-1979.5</v>
      </c>
      <c r="K53" s="24">
        <v>165</v>
      </c>
      <c r="L53" s="24">
        <v>2145</v>
      </c>
      <c r="M53" s="24">
        <v>0</v>
      </c>
      <c r="N53" s="24">
        <v>0</v>
      </c>
      <c r="O53" s="24">
        <v>2145</v>
      </c>
      <c r="P53" s="18">
        <v>2431</v>
      </c>
      <c r="Q53" s="18">
        <f t="shared" si="3"/>
        <v>4576</v>
      </c>
      <c r="R53" s="17">
        <f t="shared" si="4"/>
        <v>5538</v>
      </c>
      <c r="S53" s="18">
        <f t="shared" si="5"/>
        <v>962</v>
      </c>
      <c r="T53" s="24">
        <v>0</v>
      </c>
      <c r="U53" s="24">
        <v>0</v>
      </c>
      <c r="V53" s="19">
        <v>0</v>
      </c>
      <c r="W53" s="19">
        <f t="shared" si="6"/>
        <v>0</v>
      </c>
      <c r="X53" s="19"/>
      <c r="Y53" s="19">
        <f t="shared" si="17"/>
        <v>0</v>
      </c>
      <c r="Z53" s="24"/>
      <c r="AA53" s="21"/>
      <c r="AB53" s="18">
        <f t="shared" si="7"/>
        <v>0</v>
      </c>
      <c r="AC53" s="100">
        <f t="shared" si="8"/>
        <v>0</v>
      </c>
      <c r="AD53" s="109">
        <f t="shared" si="9"/>
        <v>-1017.5</v>
      </c>
      <c r="AE53" s="103"/>
      <c r="AF53" s="17"/>
      <c r="AG53" s="17"/>
      <c r="AH53" s="24">
        <f t="shared" si="10"/>
        <v>4634.5</v>
      </c>
      <c r="AI53" s="24">
        <f t="shared" si="16"/>
        <v>4634.5</v>
      </c>
      <c r="AJ53" s="24">
        <v>5433.1</v>
      </c>
      <c r="AK53" s="24">
        <f t="shared" si="11"/>
        <v>-798.60000000000036</v>
      </c>
      <c r="AL53" s="24" t="s">
        <v>43</v>
      </c>
      <c r="AM53" s="24">
        <v>10500</v>
      </c>
      <c r="AN53" s="24"/>
      <c r="AO53" s="24">
        <f t="shared" si="12"/>
        <v>10500</v>
      </c>
      <c r="AP53" s="15"/>
      <c r="AQ53" s="15"/>
      <c r="AR53" s="15"/>
      <c r="AS53" s="15"/>
    </row>
    <row r="54" spans="1:45">
      <c r="A54" s="12" t="s">
        <v>96</v>
      </c>
      <c r="B54" s="17">
        <v>164</v>
      </c>
      <c r="C54" s="12">
        <v>164</v>
      </c>
      <c r="D54" s="17">
        <v>14</v>
      </c>
      <c r="E54" s="18">
        <v>8.536585365853659</v>
      </c>
      <c r="F54" s="24">
        <v>2489.5</v>
      </c>
      <c r="G54" s="17">
        <v>2490</v>
      </c>
      <c r="H54" s="17">
        <f t="shared" si="1"/>
        <v>4979.5</v>
      </c>
      <c r="I54" s="17">
        <v>3000</v>
      </c>
      <c r="J54" s="17">
        <f t="shared" si="2"/>
        <v>-1979.5</v>
      </c>
      <c r="K54" s="24">
        <v>48</v>
      </c>
      <c r="L54" s="24">
        <v>624</v>
      </c>
      <c r="M54" s="24">
        <v>8</v>
      </c>
      <c r="N54" s="24">
        <v>24.8</v>
      </c>
      <c r="O54" s="24">
        <v>648.79999999999995</v>
      </c>
      <c r="P54" s="18">
        <v>330.6</v>
      </c>
      <c r="Q54" s="18">
        <f t="shared" si="3"/>
        <v>979.4</v>
      </c>
      <c r="R54" s="17">
        <f t="shared" si="4"/>
        <v>2982</v>
      </c>
      <c r="S54" s="18">
        <f t="shared" si="5"/>
        <v>2002.6</v>
      </c>
      <c r="T54" s="24">
        <v>0</v>
      </c>
      <c r="U54" s="24">
        <v>0</v>
      </c>
      <c r="V54" s="19"/>
      <c r="W54" s="19">
        <f t="shared" si="6"/>
        <v>0</v>
      </c>
      <c r="X54" s="19"/>
      <c r="Y54" s="19">
        <f t="shared" si="17"/>
        <v>0</v>
      </c>
      <c r="Z54" s="24">
        <f>[2]Svømmetimetilskud!J12</f>
        <v>57.851439324133217</v>
      </c>
      <c r="AA54" s="32">
        <v>150.07911917088813</v>
      </c>
      <c r="AB54" s="18">
        <f t="shared" si="7"/>
        <v>207.93055849502136</v>
      </c>
      <c r="AC54" s="100">
        <f>-AB54/2</f>
        <v>-103.96527924751068</v>
      </c>
      <c r="AD54" s="109">
        <f t="shared" si="9"/>
        <v>-80.86527924751077</v>
      </c>
      <c r="AE54" s="103"/>
      <c r="AF54" s="17"/>
      <c r="AG54" s="17"/>
      <c r="AH54" s="24">
        <f t="shared" si="10"/>
        <v>3138.3</v>
      </c>
      <c r="AI54" s="24">
        <f t="shared" si="16"/>
        <v>3138.3</v>
      </c>
      <c r="AJ54" s="24">
        <v>3254.7</v>
      </c>
      <c r="AK54" s="24">
        <f t="shared" si="11"/>
        <v>-116.39999999999964</v>
      </c>
      <c r="AL54" s="24" t="s">
        <v>43</v>
      </c>
      <c r="AM54" s="24">
        <v>6936.39</v>
      </c>
      <c r="AN54" s="24">
        <v>873.6</v>
      </c>
      <c r="AO54" s="24">
        <f t="shared" si="12"/>
        <v>7809.9900000000007</v>
      </c>
      <c r="AP54" s="15"/>
      <c r="AQ54" s="15"/>
      <c r="AR54" s="15"/>
      <c r="AS54" s="15"/>
    </row>
    <row r="55" spans="1:45">
      <c r="A55" s="12" t="s">
        <v>97</v>
      </c>
      <c r="B55" s="17">
        <v>118</v>
      </c>
      <c r="C55" s="12">
        <v>89</v>
      </c>
      <c r="D55" s="17">
        <v>13</v>
      </c>
      <c r="E55" s="18">
        <v>11.0169491525424</v>
      </c>
      <c r="F55" s="24">
        <v>2489.5</v>
      </c>
      <c r="G55" s="17">
        <v>2490</v>
      </c>
      <c r="H55" s="17">
        <f t="shared" si="1"/>
        <v>4979.5</v>
      </c>
      <c r="I55" s="17">
        <v>3000</v>
      </c>
      <c r="J55" s="17">
        <f t="shared" si="2"/>
        <v>-1979.5</v>
      </c>
      <c r="K55" s="24">
        <v>60</v>
      </c>
      <c r="L55" s="24">
        <v>780</v>
      </c>
      <c r="M55" s="24">
        <v>18</v>
      </c>
      <c r="N55" s="24">
        <v>55.8</v>
      </c>
      <c r="O55" s="24">
        <v>835.8</v>
      </c>
      <c r="P55" s="18">
        <v>798.6</v>
      </c>
      <c r="Q55" s="18">
        <f t="shared" si="3"/>
        <v>1634.4</v>
      </c>
      <c r="R55" s="17">
        <f t="shared" si="4"/>
        <v>2769</v>
      </c>
      <c r="S55" s="18">
        <f t="shared" si="5"/>
        <v>1134.5999999999999</v>
      </c>
      <c r="T55" s="24">
        <v>0</v>
      </c>
      <c r="U55" s="24">
        <v>0</v>
      </c>
      <c r="V55" s="19">
        <v>0</v>
      </c>
      <c r="W55" s="19">
        <f t="shared" si="6"/>
        <v>0</v>
      </c>
      <c r="X55" s="19"/>
      <c r="Y55" s="19">
        <f t="shared" si="17"/>
        <v>0</v>
      </c>
      <c r="Z55" s="24"/>
      <c r="AA55" s="39"/>
      <c r="AB55" s="18">
        <f t="shared" si="7"/>
        <v>0</v>
      </c>
      <c r="AC55" s="100">
        <f t="shared" si="8"/>
        <v>0</v>
      </c>
      <c r="AD55" s="109">
        <f t="shared" si="9"/>
        <v>-844.90000000000009</v>
      </c>
      <c r="AE55" s="103"/>
      <c r="AF55" s="17"/>
      <c r="AG55" s="17"/>
      <c r="AH55" s="24">
        <f t="shared" si="10"/>
        <v>3325.3</v>
      </c>
      <c r="AI55" s="24">
        <f t="shared" si="16"/>
        <v>3325.3</v>
      </c>
      <c r="AJ55" s="24">
        <v>3288.1</v>
      </c>
      <c r="AK55" s="24">
        <f t="shared" si="11"/>
        <v>37.200000000000273</v>
      </c>
      <c r="AL55" s="24" t="s">
        <v>43</v>
      </c>
      <c r="AM55" s="24">
        <v>20376.39</v>
      </c>
      <c r="AN55" s="24">
        <v>102.5</v>
      </c>
      <c r="AO55" s="24">
        <f t="shared" si="12"/>
        <v>20478.89</v>
      </c>
      <c r="AP55" s="15"/>
      <c r="AQ55" s="15"/>
      <c r="AR55" s="15"/>
      <c r="AS55" s="15"/>
    </row>
    <row r="56" spans="1:45">
      <c r="A56" s="10" t="s">
        <v>98</v>
      </c>
      <c r="B56" s="11">
        <v>1139</v>
      </c>
      <c r="C56" s="12">
        <v>1181</v>
      </c>
      <c r="D56" s="11">
        <v>778</v>
      </c>
      <c r="E56" s="23">
        <v>68.305531167690958</v>
      </c>
      <c r="F56" s="12">
        <v>4980</v>
      </c>
      <c r="G56" s="17">
        <v>4980</v>
      </c>
      <c r="H56" s="17">
        <f t="shared" si="1"/>
        <v>9960</v>
      </c>
      <c r="I56" s="17">
        <f>'[2]Hovedfor. ens (3)'!I30</f>
        <v>18000</v>
      </c>
      <c r="J56" s="17">
        <f t="shared" si="2"/>
        <v>8040</v>
      </c>
      <c r="K56" s="10">
        <v>3522</v>
      </c>
      <c r="L56" s="10">
        <v>45786</v>
      </c>
      <c r="M56" s="10">
        <v>76</v>
      </c>
      <c r="N56" s="10">
        <v>235.6</v>
      </c>
      <c r="O56" s="10">
        <v>46021.599999999999</v>
      </c>
      <c r="P56" s="18">
        <v>44504</v>
      </c>
      <c r="Q56" s="18">
        <f t="shared" si="3"/>
        <v>90525.6</v>
      </c>
      <c r="R56" s="17">
        <f>'[2]Hovedfor. ens (3)'!R30</f>
        <v>165714</v>
      </c>
      <c r="S56" s="18">
        <f t="shared" si="5"/>
        <v>75188.399999999994</v>
      </c>
      <c r="T56" s="12">
        <v>889.5</v>
      </c>
      <c r="U56" s="12">
        <v>29353.5</v>
      </c>
      <c r="V56" s="19">
        <v>26581.5</v>
      </c>
      <c r="W56" s="19">
        <f t="shared" si="6"/>
        <v>55935</v>
      </c>
      <c r="X56" s="28">
        <f>'[2]Hovedfor. ens (3)'!W24</f>
        <v>1218.969696969697</v>
      </c>
      <c r="Y56" s="19">
        <f>-W56*Y2</f>
        <v>-55935</v>
      </c>
      <c r="Z56" s="12"/>
      <c r="AA56" s="12"/>
      <c r="AB56" s="18">
        <f t="shared" si="7"/>
        <v>0</v>
      </c>
      <c r="AC56" s="100">
        <f t="shared" si="8"/>
        <v>0</v>
      </c>
      <c r="AD56" s="109">
        <f>J56+S56+Y56+AC56+AG56</f>
        <v>49326.855602893294</v>
      </c>
      <c r="AE56" s="103">
        <f>E56</f>
        <v>68.305531167690958</v>
      </c>
      <c r="AF56" s="17">
        <f>X56*AE56/100</f>
        <v>832.62372628834453</v>
      </c>
      <c r="AG56" s="17">
        <f>AF56*AG2/AF58</f>
        <v>22033.4556028933</v>
      </c>
      <c r="AH56" s="24">
        <f t="shared" si="10"/>
        <v>51001.599999999999</v>
      </c>
      <c r="AI56" s="24">
        <f t="shared" si="16"/>
        <v>80355.100000000006</v>
      </c>
      <c r="AJ56" s="24">
        <v>79821.399999999994</v>
      </c>
      <c r="AK56" s="24">
        <f t="shared" si="11"/>
        <v>533.70000000001164</v>
      </c>
      <c r="AL56" s="24" t="s">
        <v>43</v>
      </c>
      <c r="AM56" s="144">
        <f xml:space="preserve"> 68406+17750</f>
        <v>86156</v>
      </c>
      <c r="AN56" s="144">
        <v>3724.4</v>
      </c>
      <c r="AO56" s="24">
        <f t="shared" si="12"/>
        <v>89880.4</v>
      </c>
      <c r="AP56" s="15"/>
      <c r="AQ56" s="15"/>
      <c r="AR56" s="15"/>
      <c r="AS56" s="15"/>
    </row>
    <row r="57" spans="1:45">
      <c r="A57" s="12" t="s">
        <v>99</v>
      </c>
      <c r="B57" s="17">
        <v>350</v>
      </c>
      <c r="C57" s="12">
        <v>340</v>
      </c>
      <c r="D57" s="17">
        <v>220</v>
      </c>
      <c r="E57" s="18">
        <v>62.857142857142854</v>
      </c>
      <c r="F57" s="24">
        <v>4980</v>
      </c>
      <c r="G57" s="17">
        <v>4980</v>
      </c>
      <c r="H57" s="17">
        <f t="shared" si="1"/>
        <v>9960</v>
      </c>
      <c r="I57" s="17">
        <f>3000*7</f>
        <v>21000</v>
      </c>
      <c r="J57" s="17">
        <f t="shared" si="2"/>
        <v>11040</v>
      </c>
      <c r="K57" s="24">
        <v>1134</v>
      </c>
      <c r="L57" s="24">
        <v>14742</v>
      </c>
      <c r="M57" s="24">
        <v>26</v>
      </c>
      <c r="N57" s="24">
        <v>80.600000000000009</v>
      </c>
      <c r="O57" s="24">
        <v>14822.6</v>
      </c>
      <c r="P57" s="18">
        <v>16623.599999999999</v>
      </c>
      <c r="Q57" s="18">
        <f t="shared" si="3"/>
        <v>31446.199999999997</v>
      </c>
      <c r="R57" s="17">
        <f>'[2]Hovedfor. ens (3)'!R40</f>
        <v>50055</v>
      </c>
      <c r="S57" s="18">
        <f t="shared" si="5"/>
        <v>18608.800000000003</v>
      </c>
      <c r="T57" s="24">
        <v>405</v>
      </c>
      <c r="U57" s="24">
        <v>13365</v>
      </c>
      <c r="V57" s="19">
        <v>7194</v>
      </c>
      <c r="W57" s="19">
        <f t="shared" si="6"/>
        <v>20559</v>
      </c>
      <c r="X57" s="28">
        <f>'[2]Hovedfor. ens (3)'!W33+'[2]Hovedfor. ens (3)'!W34</f>
        <v>623</v>
      </c>
      <c r="Y57" s="19">
        <f>-W57*Y2</f>
        <v>-20559</v>
      </c>
      <c r="Z57" s="24"/>
      <c r="AA57" s="12">
        <v>0</v>
      </c>
      <c r="AB57" s="18">
        <f t="shared" si="7"/>
        <v>0</v>
      </c>
      <c r="AC57" s="100">
        <f t="shared" si="8"/>
        <v>0</v>
      </c>
      <c r="AD57" s="109">
        <f>J57+S57+Y57+AC57+AG57</f>
        <v>19452.585663766884</v>
      </c>
      <c r="AE57" s="103">
        <f>E57</f>
        <v>62.857142857142854</v>
      </c>
      <c r="AF57" s="17">
        <f>X57*AE57/100</f>
        <v>391.6</v>
      </c>
      <c r="AG57" s="17">
        <f>AF57*AG2/AF58</f>
        <v>10362.785663766881</v>
      </c>
      <c r="AH57" s="24">
        <f t="shared" si="10"/>
        <v>19802.599999999999</v>
      </c>
      <c r="AI57" s="24">
        <f t="shared" si="16"/>
        <v>33167.599999999999</v>
      </c>
      <c r="AJ57" s="24">
        <v>36306.699999999997</v>
      </c>
      <c r="AK57" s="24">
        <f t="shared" si="11"/>
        <v>-3139.0999999999985</v>
      </c>
      <c r="AL57" s="24" t="s">
        <v>100</v>
      </c>
      <c r="AM57" s="24"/>
      <c r="AN57" s="24"/>
      <c r="AO57" s="24">
        <f t="shared" si="12"/>
        <v>0</v>
      </c>
      <c r="AP57" s="15"/>
      <c r="AQ57" s="15"/>
      <c r="AR57" s="15"/>
      <c r="AS57" s="15"/>
    </row>
    <row r="58" spans="1:45">
      <c r="A58" s="34" t="s">
        <v>101</v>
      </c>
      <c r="B58" s="14"/>
      <c r="C58" s="10"/>
      <c r="D58" s="13">
        <f>SUM(D3:D57)</f>
        <v>7676</v>
      </c>
      <c r="E58" s="23"/>
      <c r="F58" s="40">
        <f>SUM(F3:F57)</f>
        <v>146893.5</v>
      </c>
      <c r="G58" s="41">
        <f>SUM(G3:G57)</f>
        <v>141930</v>
      </c>
      <c r="H58" s="41">
        <f>SUM(H3:H57)</f>
        <v>288823.5</v>
      </c>
      <c r="I58" s="41">
        <f>SUM(I3:I57)</f>
        <v>213000</v>
      </c>
      <c r="J58" s="13">
        <f t="shared" si="2"/>
        <v>-75823.5</v>
      </c>
      <c r="K58" s="14"/>
      <c r="L58" s="14"/>
      <c r="M58" s="14"/>
      <c r="N58" s="14"/>
      <c r="O58" s="40">
        <f>SUM(O3:O57)</f>
        <v>471530.89999999991</v>
      </c>
      <c r="P58" s="42">
        <f>SUM(P3:P57)</f>
        <v>469351.89999999997</v>
      </c>
      <c r="Q58" s="42">
        <f>SUM(Q3:Q57)</f>
        <v>940882.7999999997</v>
      </c>
      <c r="R58" s="42">
        <f>SUM(R3:R57)</f>
        <v>1560651</v>
      </c>
      <c r="S58" s="42">
        <f>SUM(S3:S57)</f>
        <v>619768.2000000003</v>
      </c>
      <c r="T58" s="14"/>
      <c r="U58" s="40">
        <f t="shared" ref="U58" si="18">SUM(U3:U57)</f>
        <v>211851.75</v>
      </c>
      <c r="V58" s="42">
        <f>SUM(V3:V57)</f>
        <v>220324.5</v>
      </c>
      <c r="W58" s="42">
        <f>SUM(W3:W57)</f>
        <v>432176.25</v>
      </c>
      <c r="X58" s="42">
        <f>SUM(X3:X57)</f>
        <v>10148.71212121212</v>
      </c>
      <c r="Y58" s="43">
        <f>SUM(Y3:Y57)</f>
        <v>-432176.25</v>
      </c>
      <c r="Z58" s="40">
        <f>SUM(Z4:Z57)</f>
        <v>94999.999999999985</v>
      </c>
      <c r="AA58" s="9">
        <f t="shared" ref="AA58:AD58" si="19">SUM(AA3:AA57)</f>
        <v>95000</v>
      </c>
      <c r="AB58" s="42">
        <f t="shared" si="19"/>
        <v>190000</v>
      </c>
      <c r="AC58" s="101">
        <f t="shared" si="19"/>
        <v>-95000</v>
      </c>
      <c r="AD58" s="110">
        <f t="shared" si="19"/>
        <v>216768.45</v>
      </c>
      <c r="AE58" s="104"/>
      <c r="AF58" s="13">
        <f>SUM(AF2:AF57)</f>
        <v>7557.8133661340844</v>
      </c>
      <c r="AG58" s="13">
        <f>SUM(AG3:AG57)</f>
        <v>200000.00000000003</v>
      </c>
      <c r="AH58" s="149">
        <f>SUM(AH3:AH57)</f>
        <v>604450.30000000005</v>
      </c>
      <c r="AI58" s="149">
        <f>SUM(AI3:AI57)</f>
        <v>816302.04999999993</v>
      </c>
      <c r="AJ58" s="24">
        <v>848036.29999999993</v>
      </c>
      <c r="AK58" s="24"/>
      <c r="AL58" s="12"/>
      <c r="AM58" s="149">
        <f>SUM(AM3:AM57)</f>
        <v>726076.14000000013</v>
      </c>
      <c r="AN58" s="149">
        <f>SUM(AN3:AN57)</f>
        <v>12732.449999999999</v>
      </c>
      <c r="AO58" s="149">
        <f t="shared" si="12"/>
        <v>738808.59000000008</v>
      </c>
      <c r="AP58" s="15"/>
      <c r="AQ58" s="15"/>
      <c r="AR58" s="15"/>
      <c r="AS58" s="15"/>
    </row>
    <row r="59" spans="1:45">
      <c r="A59" s="10"/>
      <c r="B59" s="14"/>
      <c r="C59" s="10"/>
      <c r="D59" s="14"/>
      <c r="E59" s="14"/>
      <c r="F59" s="14"/>
      <c r="G59" s="10"/>
      <c r="H59" s="10"/>
      <c r="I59" s="10"/>
      <c r="J59" s="17">
        <f t="shared" si="2"/>
        <v>0</v>
      </c>
      <c r="K59" s="14"/>
      <c r="L59" s="14"/>
      <c r="M59" s="14"/>
      <c r="N59" s="14"/>
      <c r="O59" s="14"/>
      <c r="P59" s="10"/>
      <c r="Q59" s="10"/>
      <c r="R59" s="12"/>
      <c r="S59" s="12"/>
      <c r="T59" s="14"/>
      <c r="U59" s="14"/>
      <c r="V59" s="10"/>
      <c r="W59" s="10"/>
      <c r="X59" s="10"/>
      <c r="Y59" s="10"/>
      <c r="Z59" s="14"/>
      <c r="AA59" s="12"/>
      <c r="AB59" s="12"/>
      <c r="AC59" s="73"/>
      <c r="AD59" s="107"/>
      <c r="AE59" s="68"/>
      <c r="AF59" s="12"/>
      <c r="AG59" s="12"/>
      <c r="AH59" s="149">
        <f>AH58-AH45-AH32-AH22-AH17-AH3</f>
        <v>577591.5</v>
      </c>
      <c r="AI59" s="149">
        <f>AI58-AI45-AI32-AI22-AI17-AI3</f>
        <v>788915.24999999988</v>
      </c>
      <c r="AJ59" s="24"/>
      <c r="AK59" s="24"/>
      <c r="AL59" s="12"/>
      <c r="AM59" s="149"/>
      <c r="AN59" s="24"/>
      <c r="AO59" s="24"/>
      <c r="AP59" s="15"/>
      <c r="AQ59" s="15"/>
      <c r="AR59" s="15"/>
      <c r="AS59" s="15"/>
    </row>
    <row r="60" spans="1:45">
      <c r="Y60" s="45">
        <f>W58+Y58</f>
        <v>0</v>
      </c>
      <c r="AD60" s="111"/>
      <c r="AM60" s="46"/>
      <c r="AN60" s="46"/>
      <c r="AO60" s="46"/>
      <c r="AP60" s="15"/>
      <c r="AQ60" s="15"/>
      <c r="AR60" s="15"/>
      <c r="AS60" s="15"/>
    </row>
    <row r="61" spans="1:45" ht="93.75" customHeight="1">
      <c r="A61" s="89" t="s">
        <v>102</v>
      </c>
      <c r="B61" s="47" t="s">
        <v>103</v>
      </c>
      <c r="C61" s="48" t="s">
        <v>104</v>
      </c>
      <c r="D61" s="49" t="s">
        <v>105</v>
      </c>
      <c r="E61" s="48" t="s">
        <v>104</v>
      </c>
      <c r="F61" s="1" t="s">
        <v>106</v>
      </c>
      <c r="G61" s="1" t="s">
        <v>107</v>
      </c>
      <c r="H61" s="90" t="s">
        <v>108</v>
      </c>
      <c r="I61" s="3" t="s">
        <v>5</v>
      </c>
      <c r="J61" s="4" t="s">
        <v>6</v>
      </c>
      <c r="M61" s="50" t="s">
        <v>109</v>
      </c>
      <c r="O61" s="1" t="s">
        <v>8</v>
      </c>
      <c r="P61" s="1" t="s">
        <v>9</v>
      </c>
      <c r="Q61" s="90" t="s">
        <v>10</v>
      </c>
      <c r="R61" s="3" t="s">
        <v>11</v>
      </c>
      <c r="S61" s="4" t="s">
        <v>12</v>
      </c>
      <c r="Z61" s="51"/>
      <c r="AB61" s="45"/>
      <c r="AC61" s="16">
        <f>AG72/AD72</f>
        <v>-0.81205182352327365</v>
      </c>
      <c r="AD61" s="112" t="s">
        <v>21</v>
      </c>
      <c r="AE61" s="102" t="s">
        <v>110</v>
      </c>
      <c r="AF61" s="6">
        <v>0.2</v>
      </c>
      <c r="AG61" s="127" t="s">
        <v>178</v>
      </c>
      <c r="AM61" s="123" t="s">
        <v>29</v>
      </c>
      <c r="AO61" s="124" t="s">
        <v>31</v>
      </c>
      <c r="AP61" s="126" t="s">
        <v>177</v>
      </c>
    </row>
    <row r="62" spans="1:45">
      <c r="A62" s="12" t="s">
        <v>111</v>
      </c>
      <c r="B62" s="52">
        <f>303/6</f>
        <v>50.5</v>
      </c>
      <c r="C62" s="53">
        <f>296/6</f>
        <v>49.333333333333336</v>
      </c>
      <c r="D62" s="10">
        <v>50</v>
      </c>
      <c r="E62" s="23">
        <v>70.422535211267601</v>
      </c>
      <c r="F62" s="54">
        <v>3148</v>
      </c>
      <c r="G62" s="11">
        <v>3148</v>
      </c>
      <c r="H62" s="55">
        <f>F62+G62</f>
        <v>6296</v>
      </c>
      <c r="I62" s="136">
        <v>3000</v>
      </c>
      <c r="J62" s="55">
        <f>I62-H62</f>
        <v>-3296</v>
      </c>
      <c r="O62" s="56">
        <v>9659.64</v>
      </c>
      <c r="P62" s="57">
        <v>7015.2</v>
      </c>
      <c r="Q62" s="14">
        <f>O62+P62</f>
        <v>16674.84</v>
      </c>
      <c r="R62" s="17">
        <f>213*D62</f>
        <v>10650</v>
      </c>
      <c r="S62" s="17">
        <f>R62-Q62</f>
        <v>-6024.84</v>
      </c>
      <c r="AD62" s="134">
        <f>J62+S62</f>
        <v>-9320.84</v>
      </c>
      <c r="AE62" s="141">
        <f>AF61*AD62</f>
        <v>-1864.1680000000001</v>
      </c>
      <c r="AF62" s="58"/>
      <c r="AG62" s="125">
        <f t="shared" ref="AG62:AG71" si="20">AC$61*AD62</f>
        <v>7569.0051187686704</v>
      </c>
      <c r="AH62" s="10"/>
      <c r="AI62" s="10"/>
      <c r="AJ62" s="10"/>
      <c r="AK62" s="10"/>
      <c r="AL62" s="10"/>
      <c r="AM62" s="59">
        <v>14060</v>
      </c>
      <c r="AN62" s="10"/>
      <c r="AO62" s="59">
        <v>14060</v>
      </c>
      <c r="AP62" s="122">
        <f>AD62+AG62</f>
        <v>-1751.8348812313297</v>
      </c>
    </row>
    <row r="63" spans="1:45">
      <c r="A63" s="60" t="s">
        <v>112</v>
      </c>
      <c r="B63" s="52">
        <f>660/6</f>
        <v>110</v>
      </c>
      <c r="C63" s="53">
        <f>738/6</f>
        <v>123</v>
      </c>
      <c r="D63" s="10">
        <v>123</v>
      </c>
      <c r="E63" s="23">
        <v>79.870129870129873</v>
      </c>
      <c r="F63" s="54">
        <v>3148</v>
      </c>
      <c r="G63" s="11">
        <v>3148</v>
      </c>
      <c r="H63" s="55">
        <f t="shared" ref="H63:H71" si="21">F63+G63</f>
        <v>6296</v>
      </c>
      <c r="I63" s="136">
        <v>3000</v>
      </c>
      <c r="J63" s="55">
        <f t="shared" ref="J63:J71" si="22">I63-H63</f>
        <v>-3296</v>
      </c>
      <c r="O63" s="56">
        <v>21040.799999999999</v>
      </c>
      <c r="P63" s="57">
        <v>17490.599999999999</v>
      </c>
      <c r="Q63" s="14">
        <f t="shared" ref="Q63:Q71" si="23">O63+P63</f>
        <v>38531.399999999994</v>
      </c>
      <c r="R63" s="17">
        <f t="shared" ref="R63:R71" si="24">213*D63</f>
        <v>26199</v>
      </c>
      <c r="S63" s="17">
        <f t="shared" ref="S63:S71" si="25">R63-Q63</f>
        <v>-12332.399999999994</v>
      </c>
      <c r="AD63" s="134">
        <f t="shared" ref="AD63:AD72" si="26">J63+S63</f>
        <v>-15628.399999999994</v>
      </c>
      <c r="AE63" s="141">
        <f>AF61*AD63</f>
        <v>-3125.6799999999989</v>
      </c>
      <c r="AF63" s="58"/>
      <c r="AG63" s="125">
        <f t="shared" si="20"/>
        <v>12691.070718751125</v>
      </c>
      <c r="AH63" s="10"/>
      <c r="AI63" s="10"/>
      <c r="AJ63" s="10"/>
      <c r="AK63" s="10"/>
      <c r="AL63" s="10"/>
      <c r="AM63" s="59">
        <v>32917</v>
      </c>
      <c r="AN63" s="10"/>
      <c r="AO63" s="59">
        <v>32917</v>
      </c>
      <c r="AP63" s="122">
        <f t="shared" ref="AP63:AP72" si="27">AD63+AG63</f>
        <v>-2937.3292812488689</v>
      </c>
    </row>
    <row r="64" spans="1:45">
      <c r="A64" s="12" t="s">
        <v>113</v>
      </c>
      <c r="B64" s="52">
        <f>168/6</f>
        <v>28</v>
      </c>
      <c r="C64" s="53">
        <f>153/6</f>
        <v>25.5</v>
      </c>
      <c r="D64" s="10">
        <v>28</v>
      </c>
      <c r="E64" s="23">
        <v>58.333333333333336</v>
      </c>
      <c r="F64" s="54">
        <v>3148</v>
      </c>
      <c r="G64" s="11">
        <v>3148</v>
      </c>
      <c r="H64" s="55">
        <f t="shared" si="21"/>
        <v>6296</v>
      </c>
      <c r="I64" s="136">
        <v>3000</v>
      </c>
      <c r="J64" s="55">
        <f t="shared" si="22"/>
        <v>-3296</v>
      </c>
      <c r="O64" s="56">
        <v>5355.84</v>
      </c>
      <c r="P64" s="57">
        <v>3626.1</v>
      </c>
      <c r="Q64" s="14">
        <f t="shared" si="23"/>
        <v>8981.94</v>
      </c>
      <c r="R64" s="17">
        <f t="shared" si="24"/>
        <v>5964</v>
      </c>
      <c r="S64" s="17">
        <f t="shared" si="25"/>
        <v>-3017.9400000000005</v>
      </c>
      <c r="AD64" s="134">
        <f t="shared" si="26"/>
        <v>-6313.9400000000005</v>
      </c>
      <c r="AE64" s="141">
        <f>AF61*AD64</f>
        <v>-1262.7880000000002</v>
      </c>
      <c r="AF64" s="58"/>
      <c r="AG64" s="125">
        <f t="shared" si="20"/>
        <v>5127.2464906165387</v>
      </c>
      <c r="AH64" s="10"/>
      <c r="AI64" s="10"/>
      <c r="AJ64" s="10"/>
      <c r="AK64" s="10"/>
      <c r="AL64" s="10"/>
      <c r="AM64" s="59">
        <v>12389</v>
      </c>
      <c r="AN64" s="10"/>
      <c r="AO64" s="59">
        <v>12389</v>
      </c>
      <c r="AP64" s="122">
        <f t="shared" si="27"/>
        <v>-1186.6935093834618</v>
      </c>
    </row>
    <row r="65" spans="1:42">
      <c r="A65" s="12" t="s">
        <v>114</v>
      </c>
      <c r="B65" s="52">
        <f>496/6</f>
        <v>82.666666666666671</v>
      </c>
      <c r="C65" s="53">
        <f>436/6</f>
        <v>72.666666666666671</v>
      </c>
      <c r="D65" s="10">
        <v>68</v>
      </c>
      <c r="E65" s="23">
        <v>76.404494382022463</v>
      </c>
      <c r="F65" s="54">
        <v>3148</v>
      </c>
      <c r="G65" s="11">
        <v>3148</v>
      </c>
      <c r="H65" s="55">
        <f t="shared" si="21"/>
        <v>6296</v>
      </c>
      <c r="I65" s="136">
        <v>3000</v>
      </c>
      <c r="J65" s="55">
        <f t="shared" si="22"/>
        <v>-3296</v>
      </c>
      <c r="O65" s="56">
        <v>15812.48</v>
      </c>
      <c r="P65" s="57">
        <v>10333.199999999999</v>
      </c>
      <c r="Q65" s="14">
        <f t="shared" si="23"/>
        <v>26145.68</v>
      </c>
      <c r="R65" s="17">
        <f t="shared" si="24"/>
        <v>14484</v>
      </c>
      <c r="S65" s="17">
        <f t="shared" si="25"/>
        <v>-11661.68</v>
      </c>
      <c r="AD65" s="134">
        <f t="shared" si="26"/>
        <v>-14957.68</v>
      </c>
      <c r="AE65" s="141">
        <f>AF61*AD65</f>
        <v>-2991.5360000000001</v>
      </c>
      <c r="AF65" s="58"/>
      <c r="AG65" s="125">
        <f t="shared" si="20"/>
        <v>12146.4113196776</v>
      </c>
      <c r="AH65" s="10"/>
      <c r="AI65" s="10"/>
      <c r="AJ65" s="10"/>
      <c r="AK65" s="10"/>
      <c r="AL65" s="10"/>
      <c r="AM65" s="59">
        <v>14655</v>
      </c>
      <c r="AN65" s="10"/>
      <c r="AO65" s="59">
        <v>14655</v>
      </c>
      <c r="AP65" s="122">
        <f t="shared" si="27"/>
        <v>-2811.2686803224005</v>
      </c>
    </row>
    <row r="66" spans="1:42">
      <c r="A66" s="60" t="s">
        <v>115</v>
      </c>
      <c r="B66" s="52">
        <f>228/6</f>
        <v>38</v>
      </c>
      <c r="C66" s="53">
        <f>164/6</f>
        <v>27.333333333333332</v>
      </c>
      <c r="D66" s="10">
        <v>29</v>
      </c>
      <c r="E66" s="23">
        <v>76.31578947368422</v>
      </c>
      <c r="F66" s="54">
        <v>3148</v>
      </c>
      <c r="G66" s="11">
        <v>3148</v>
      </c>
      <c r="H66" s="55">
        <f t="shared" si="21"/>
        <v>6296</v>
      </c>
      <c r="I66" s="136">
        <v>3000</v>
      </c>
      <c r="J66" s="55">
        <f t="shared" si="22"/>
        <v>-3296</v>
      </c>
      <c r="O66" s="56">
        <v>7268.6399999999994</v>
      </c>
      <c r="P66" s="57">
        <v>3886.7999999999997</v>
      </c>
      <c r="Q66" s="14">
        <f t="shared" si="23"/>
        <v>11155.439999999999</v>
      </c>
      <c r="R66" s="17">
        <f t="shared" si="24"/>
        <v>6177</v>
      </c>
      <c r="S66" s="17">
        <f t="shared" si="25"/>
        <v>-4978.4399999999987</v>
      </c>
      <c r="AD66" s="134">
        <f t="shared" si="26"/>
        <v>-8274.4399999999987</v>
      </c>
      <c r="AE66" s="141">
        <f>AF61*AD66</f>
        <v>-1654.8879999999999</v>
      </c>
      <c r="AF66" s="58"/>
      <c r="AG66" s="125">
        <f t="shared" si="20"/>
        <v>6719.274090633915</v>
      </c>
      <c r="AH66" s="10"/>
      <c r="AI66" s="10"/>
      <c r="AJ66" s="10"/>
      <c r="AK66" s="10"/>
      <c r="AL66" s="10"/>
      <c r="AM66" s="59">
        <v>6390</v>
      </c>
      <c r="AN66" s="10"/>
      <c r="AO66" s="59">
        <v>6390</v>
      </c>
      <c r="AP66" s="122">
        <f t="shared" si="27"/>
        <v>-1555.1659093660837</v>
      </c>
    </row>
    <row r="67" spans="1:42">
      <c r="A67" s="12" t="s">
        <v>116</v>
      </c>
      <c r="B67" s="52">
        <f>150/6</f>
        <v>25</v>
      </c>
      <c r="C67" s="53">
        <f>187/6</f>
        <v>31.166666666666668</v>
      </c>
      <c r="D67" s="10">
        <v>27</v>
      </c>
      <c r="E67" s="23">
        <v>75</v>
      </c>
      <c r="F67" s="54">
        <v>3148</v>
      </c>
      <c r="G67" s="11">
        <v>3148</v>
      </c>
      <c r="H67" s="55">
        <f t="shared" si="21"/>
        <v>6296</v>
      </c>
      <c r="I67" s="136">
        <v>3000</v>
      </c>
      <c r="J67" s="55">
        <f t="shared" si="22"/>
        <v>-3296</v>
      </c>
      <c r="O67" s="56">
        <v>4782</v>
      </c>
      <c r="P67" s="57">
        <v>4431.8999999999996</v>
      </c>
      <c r="Q67" s="14">
        <f t="shared" si="23"/>
        <v>9213.9</v>
      </c>
      <c r="R67" s="17">
        <f t="shared" si="24"/>
        <v>5751</v>
      </c>
      <c r="S67" s="17">
        <f t="shared" si="25"/>
        <v>-3462.8999999999996</v>
      </c>
      <c r="AD67" s="134">
        <f t="shared" si="26"/>
        <v>-6758.9</v>
      </c>
      <c r="AE67" s="141">
        <f>AF61*AD67</f>
        <v>-1351.78</v>
      </c>
      <c r="AF67" s="58"/>
      <c r="AG67" s="125">
        <f t="shared" si="20"/>
        <v>5488.5770700114535</v>
      </c>
      <c r="AH67" s="10"/>
      <c r="AI67" s="10"/>
      <c r="AJ67" s="10"/>
      <c r="AK67" s="10"/>
      <c r="AL67" s="10"/>
      <c r="AM67" s="59">
        <v>6905</v>
      </c>
      <c r="AN67" s="10"/>
      <c r="AO67" s="59">
        <v>6905</v>
      </c>
      <c r="AP67" s="122">
        <f t="shared" si="27"/>
        <v>-1270.3229299885461</v>
      </c>
    </row>
    <row r="68" spans="1:42">
      <c r="A68" s="12" t="s">
        <v>117</v>
      </c>
      <c r="B68" s="52">
        <f>372/6</f>
        <v>62</v>
      </c>
      <c r="C68" s="10">
        <f>378/6</f>
        <v>63</v>
      </c>
      <c r="D68" s="10">
        <v>63</v>
      </c>
      <c r="E68" s="23">
        <v>84</v>
      </c>
      <c r="F68" s="54">
        <v>3148</v>
      </c>
      <c r="G68" s="11">
        <v>3148</v>
      </c>
      <c r="H68" s="55">
        <f t="shared" si="21"/>
        <v>6296</v>
      </c>
      <c r="I68" s="136">
        <v>3000</v>
      </c>
      <c r="J68" s="55">
        <f t="shared" si="22"/>
        <v>-3296</v>
      </c>
      <c r="O68" s="56">
        <v>11859.359999999999</v>
      </c>
      <c r="P68" s="57">
        <v>8958.6</v>
      </c>
      <c r="Q68" s="14">
        <f t="shared" si="23"/>
        <v>20817.96</v>
      </c>
      <c r="R68" s="17">
        <f t="shared" si="24"/>
        <v>13419</v>
      </c>
      <c r="S68" s="17">
        <f t="shared" si="25"/>
        <v>-7398.9599999999991</v>
      </c>
      <c r="AD68" s="134">
        <f t="shared" si="26"/>
        <v>-10694.96</v>
      </c>
      <c r="AE68" s="141">
        <f>AF61*AD68</f>
        <v>-2138.9919999999997</v>
      </c>
      <c r="AF68" s="58"/>
      <c r="AG68" s="125">
        <f t="shared" si="20"/>
        <v>8684.8617705084707</v>
      </c>
      <c r="AH68" s="10"/>
      <c r="AI68" s="10"/>
      <c r="AJ68" s="10"/>
      <c r="AK68" s="10"/>
      <c r="AL68" s="10"/>
      <c r="AM68" s="59">
        <v>0</v>
      </c>
      <c r="AN68" s="10"/>
      <c r="AO68" s="59">
        <v>0</v>
      </c>
      <c r="AP68" s="122">
        <f t="shared" si="27"/>
        <v>-2010.0982294915284</v>
      </c>
    </row>
    <row r="69" spans="1:42">
      <c r="A69" s="12" t="s">
        <v>118</v>
      </c>
      <c r="B69" s="52">
        <f>363/6</f>
        <v>60.5</v>
      </c>
      <c r="C69" s="53">
        <f>348/6</f>
        <v>58</v>
      </c>
      <c r="D69" s="10">
        <v>62</v>
      </c>
      <c r="E69" s="23">
        <v>88.571428571428569</v>
      </c>
      <c r="F69" s="54">
        <v>3148</v>
      </c>
      <c r="G69" s="11">
        <v>3148</v>
      </c>
      <c r="H69" s="55">
        <f t="shared" si="21"/>
        <v>6296</v>
      </c>
      <c r="I69" s="136">
        <v>3000</v>
      </c>
      <c r="J69" s="55">
        <f t="shared" si="22"/>
        <v>-3296</v>
      </c>
      <c r="O69" s="56">
        <v>11572.44</v>
      </c>
      <c r="P69" s="57">
        <v>8247.6</v>
      </c>
      <c r="Q69" s="14">
        <f t="shared" si="23"/>
        <v>19820.04</v>
      </c>
      <c r="R69" s="17">
        <f t="shared" si="24"/>
        <v>13206</v>
      </c>
      <c r="S69" s="17">
        <f t="shared" si="25"/>
        <v>-6614.0400000000009</v>
      </c>
      <c r="AD69" s="134">
        <f t="shared" si="26"/>
        <v>-9910.0400000000009</v>
      </c>
      <c r="AE69" s="141">
        <f>AF61*AD69</f>
        <v>-1982.0080000000003</v>
      </c>
      <c r="AF69" s="58"/>
      <c r="AG69" s="125">
        <f t="shared" si="20"/>
        <v>8047.4660531885838</v>
      </c>
      <c r="AH69" s="10"/>
      <c r="AI69" s="10"/>
      <c r="AJ69" s="10"/>
      <c r="AK69" s="10"/>
      <c r="AL69" s="10"/>
      <c r="AM69" s="59">
        <v>9475</v>
      </c>
      <c r="AN69" s="10"/>
      <c r="AO69" s="59">
        <v>9475</v>
      </c>
      <c r="AP69" s="122">
        <f t="shared" si="27"/>
        <v>-1862.573946811417</v>
      </c>
    </row>
    <row r="70" spans="1:42">
      <c r="A70" s="12" t="s">
        <v>119</v>
      </c>
      <c r="B70" s="52">
        <f>394/6</f>
        <v>65.666666666666671</v>
      </c>
      <c r="C70" s="53">
        <f>381/6</f>
        <v>63.5</v>
      </c>
      <c r="D70" s="10">
        <v>67</v>
      </c>
      <c r="E70" s="23">
        <v>84.810126582278471</v>
      </c>
      <c r="F70" s="54">
        <v>3148</v>
      </c>
      <c r="G70" s="11">
        <v>3148</v>
      </c>
      <c r="H70" s="55">
        <f t="shared" si="21"/>
        <v>6296</v>
      </c>
      <c r="I70" s="136">
        <v>3000</v>
      </c>
      <c r="J70" s="55">
        <f t="shared" si="22"/>
        <v>-3296</v>
      </c>
      <c r="O70" s="56">
        <v>12560.72</v>
      </c>
      <c r="P70" s="57">
        <v>9029.6999999999989</v>
      </c>
      <c r="Q70" s="14">
        <f t="shared" si="23"/>
        <v>21590.42</v>
      </c>
      <c r="R70" s="17">
        <f t="shared" si="24"/>
        <v>14271</v>
      </c>
      <c r="S70" s="17">
        <f t="shared" si="25"/>
        <v>-7319.4199999999983</v>
      </c>
      <c r="AD70" s="134">
        <f t="shared" si="26"/>
        <v>-10615.419999999998</v>
      </c>
      <c r="AE70" s="141">
        <f>AF61*AD70</f>
        <v>-2123.0839999999998</v>
      </c>
      <c r="AF70" s="58"/>
      <c r="AG70" s="125">
        <f t="shared" si="20"/>
        <v>8620.2711684654278</v>
      </c>
      <c r="AH70" s="10"/>
      <c r="AI70" s="10"/>
      <c r="AJ70" s="10"/>
      <c r="AK70" s="10"/>
      <c r="AL70" s="10"/>
      <c r="AM70" s="59">
        <v>29221.83</v>
      </c>
      <c r="AN70" s="10"/>
      <c r="AO70" s="59">
        <v>29221.83</v>
      </c>
      <c r="AP70" s="122">
        <f t="shared" si="27"/>
        <v>-1995.1488315345705</v>
      </c>
    </row>
    <row r="71" spans="1:42">
      <c r="A71" s="12" t="s">
        <v>120</v>
      </c>
      <c r="B71" s="52">
        <f>172/6</f>
        <v>28.666666666666668</v>
      </c>
      <c r="C71" s="53">
        <f>217/6</f>
        <v>36.166666666666664</v>
      </c>
      <c r="D71" s="10">
        <v>37</v>
      </c>
      <c r="E71" s="23">
        <v>100</v>
      </c>
      <c r="F71" s="54">
        <v>3148</v>
      </c>
      <c r="G71" s="11">
        <v>3148</v>
      </c>
      <c r="H71" s="55">
        <f t="shared" si="21"/>
        <v>6296</v>
      </c>
      <c r="I71" s="136">
        <v>3000</v>
      </c>
      <c r="J71" s="55">
        <f t="shared" si="22"/>
        <v>-3296</v>
      </c>
      <c r="O71" s="56">
        <v>5483.36</v>
      </c>
      <c r="P71" s="57">
        <v>5142.8999999999996</v>
      </c>
      <c r="Q71" s="14">
        <f t="shared" si="23"/>
        <v>10626.259999999998</v>
      </c>
      <c r="R71" s="17">
        <f t="shared" si="24"/>
        <v>7881</v>
      </c>
      <c r="S71" s="17">
        <f t="shared" si="25"/>
        <v>-2745.2599999999984</v>
      </c>
      <c r="T71" t="s">
        <v>121</v>
      </c>
      <c r="AD71" s="134">
        <f t="shared" si="26"/>
        <v>-6041.2599999999984</v>
      </c>
      <c r="AE71" s="141">
        <f>AF61*AD71</f>
        <v>-1208.2519999999997</v>
      </c>
      <c r="AF71" s="58"/>
      <c r="AG71" s="125">
        <f t="shared" si="20"/>
        <v>4905.8161993782105</v>
      </c>
      <c r="AH71" s="10"/>
      <c r="AI71" s="10"/>
      <c r="AJ71" s="10"/>
      <c r="AK71" s="10"/>
      <c r="AL71" s="10"/>
      <c r="AM71" s="59">
        <v>456</v>
      </c>
      <c r="AN71" s="10"/>
      <c r="AO71" s="59">
        <v>456</v>
      </c>
      <c r="AP71" s="122">
        <f t="shared" si="27"/>
        <v>-1135.4438006217879</v>
      </c>
    </row>
    <row r="72" spans="1:42">
      <c r="A72" s="9" t="s">
        <v>101</v>
      </c>
      <c r="B72" s="10"/>
      <c r="C72" s="10"/>
      <c r="D72" s="9">
        <f>SUM(D62:D71)</f>
        <v>554</v>
      </c>
      <c r="E72" s="10"/>
      <c r="F72" s="40">
        <f>SUM(F62:F71)</f>
        <v>31480</v>
      </c>
      <c r="G72" s="10"/>
      <c r="H72" s="41">
        <f>SUM(H62:H71)</f>
        <v>62960</v>
      </c>
      <c r="I72" s="13">
        <f>SUM(I62:I71)</f>
        <v>30000</v>
      </c>
      <c r="J72" s="41">
        <f>SUM(J62:J71)</f>
        <v>-32960</v>
      </c>
      <c r="O72" s="61">
        <f>SUM(O62:O71)</f>
        <v>105395.28</v>
      </c>
      <c r="P72" s="62">
        <f>SUM(P62:P71)</f>
        <v>78162.599999999991</v>
      </c>
      <c r="Q72" s="40">
        <f>SUM(Q62:Q71)</f>
        <v>183557.88</v>
      </c>
      <c r="R72" s="41">
        <f>SUM(R62:R71)</f>
        <v>118002</v>
      </c>
      <c r="S72" s="41">
        <f>SUM(S62:S71)</f>
        <v>-65555.87999999999</v>
      </c>
      <c r="T72" s="63">
        <f>J72+S72</f>
        <v>-98515.87999999999</v>
      </c>
      <c r="Y72" s="63"/>
      <c r="AD72" s="41">
        <f t="shared" si="26"/>
        <v>-98515.87999999999</v>
      </c>
      <c r="AE72" s="105">
        <f>SUM(AE62:AE71)</f>
        <v>-19703.175999999999</v>
      </c>
      <c r="AF72" s="41">
        <f>AD72-AE72</f>
        <v>-78812.703999999998</v>
      </c>
      <c r="AG72" s="64">
        <v>80000</v>
      </c>
      <c r="AH72" s="10"/>
      <c r="AI72" s="10"/>
      <c r="AJ72" s="10"/>
      <c r="AK72" s="10"/>
      <c r="AL72" s="10"/>
      <c r="AM72" s="12"/>
      <c r="AN72" s="10"/>
      <c r="AO72" s="12"/>
      <c r="AP72" s="122">
        <f t="shared" si="27"/>
        <v>-18515.87999999999</v>
      </c>
    </row>
    <row r="73" spans="1:42">
      <c r="AD73" s="16"/>
      <c r="AO73" s="61">
        <f>SUM(AO62:AO72)</f>
        <v>126468.83</v>
      </c>
    </row>
    <row r="74" spans="1:42" ht="18.75">
      <c r="A74" s="88" t="s">
        <v>122</v>
      </c>
      <c r="D74" s="92"/>
      <c r="AD74" s="16"/>
    </row>
    <row r="75" spans="1:42">
      <c r="A75" s="65" t="s">
        <v>123</v>
      </c>
      <c r="B75" s="10">
        <v>46</v>
      </c>
      <c r="C75" s="10"/>
      <c r="D75" s="10">
        <v>45</v>
      </c>
      <c r="E75" s="23">
        <v>97.826086956521735</v>
      </c>
      <c r="F75" s="11">
        <v>2000</v>
      </c>
      <c r="G75" s="137">
        <v>2700</v>
      </c>
      <c r="H75" s="55">
        <f>F75+G75</f>
        <v>4700</v>
      </c>
      <c r="I75" s="136">
        <v>3000</v>
      </c>
      <c r="J75" s="55">
        <f>I75-H75</f>
        <v>-1700</v>
      </c>
      <c r="O75" s="23">
        <v>2710</v>
      </c>
      <c r="P75" s="10">
        <v>5315.7</v>
      </c>
      <c r="Q75" s="133">
        <f>O75+P75</f>
        <v>8025.7</v>
      </c>
      <c r="R75" s="17">
        <f>213*D75</f>
        <v>9585</v>
      </c>
      <c r="S75" s="17">
        <f>R75-Q75</f>
        <v>1559.3000000000002</v>
      </c>
      <c r="AD75" s="122">
        <f>J75+S75</f>
        <v>-140.69999999999982</v>
      </c>
      <c r="AE75" s="66"/>
      <c r="AF75" s="122"/>
      <c r="AG75" s="96"/>
      <c r="AM75" s="10"/>
    </row>
    <row r="76" spans="1:42">
      <c r="A76" s="70" t="s">
        <v>124</v>
      </c>
      <c r="B76" s="12"/>
      <c r="C76" s="10"/>
      <c r="D76" s="12"/>
      <c r="E76" s="18"/>
      <c r="F76" s="11"/>
      <c r="G76" s="138">
        <v>0</v>
      </c>
      <c r="H76" s="55">
        <f t="shared" ref="H76:H88" si="28">F76+G76</f>
        <v>0</v>
      </c>
      <c r="I76" s="136">
        <v>0</v>
      </c>
      <c r="J76" s="55">
        <f t="shared" ref="J76:J88" si="29">I76-H76</f>
        <v>0</v>
      </c>
      <c r="O76" s="23"/>
      <c r="P76" s="10">
        <v>0</v>
      </c>
      <c r="Q76" s="133">
        <f t="shared" ref="Q76:Q88" si="30">O76+P76</f>
        <v>0</v>
      </c>
      <c r="R76" s="17">
        <f t="shared" ref="R76:R88" si="31">213*D76</f>
        <v>0</v>
      </c>
      <c r="S76" s="17">
        <f t="shared" ref="S76:S88" si="32">R76-Q76</f>
        <v>0</v>
      </c>
      <c r="AD76" s="113">
        <f t="shared" ref="AD76:AD88" si="33">J76+S76</f>
        <v>0</v>
      </c>
      <c r="AE76" s="66"/>
      <c r="AF76" s="122"/>
      <c r="AG76" s="96"/>
      <c r="AM76" s="10"/>
    </row>
    <row r="77" spans="1:42">
      <c r="A77" s="67" t="s">
        <v>125</v>
      </c>
      <c r="B77" s="12">
        <v>23</v>
      </c>
      <c r="C77" s="10">
        <v>20</v>
      </c>
      <c r="D77" s="12">
        <v>34</v>
      </c>
      <c r="E77" s="18">
        <v>147.82608695652172</v>
      </c>
      <c r="F77" s="17">
        <v>2000</v>
      </c>
      <c r="G77" s="139">
        <v>2700</v>
      </c>
      <c r="H77" s="55">
        <f t="shared" si="28"/>
        <v>4700</v>
      </c>
      <c r="I77" s="136">
        <v>3000</v>
      </c>
      <c r="J77" s="55">
        <f t="shared" si="29"/>
        <v>-1700</v>
      </c>
      <c r="O77" s="18">
        <v>0</v>
      </c>
      <c r="P77" s="10">
        <v>0</v>
      </c>
      <c r="Q77" s="133">
        <f t="shared" si="30"/>
        <v>0</v>
      </c>
      <c r="R77" s="17">
        <f t="shared" si="31"/>
        <v>7242</v>
      </c>
      <c r="S77" s="17">
        <f t="shared" si="32"/>
        <v>7242</v>
      </c>
      <c r="AD77" s="113">
        <f t="shared" si="33"/>
        <v>5542</v>
      </c>
      <c r="AE77" s="66"/>
      <c r="AF77" s="122"/>
      <c r="AG77" s="96"/>
      <c r="AM77" s="10">
        <v>0</v>
      </c>
    </row>
    <row r="78" spans="1:42">
      <c r="A78" s="67" t="s">
        <v>126</v>
      </c>
      <c r="B78" s="10">
        <v>52</v>
      </c>
      <c r="C78" s="10">
        <v>52</v>
      </c>
      <c r="D78" s="10">
        <v>38</v>
      </c>
      <c r="E78" s="23">
        <v>73.076923076923066</v>
      </c>
      <c r="F78" s="11">
        <v>2000</v>
      </c>
      <c r="G78" s="139">
        <v>2700</v>
      </c>
      <c r="H78" s="55">
        <f t="shared" si="28"/>
        <v>4700</v>
      </c>
      <c r="I78" s="136">
        <v>3000</v>
      </c>
      <c r="J78" s="55">
        <f t="shared" si="29"/>
        <v>-1700</v>
      </c>
      <c r="O78" s="23">
        <v>0</v>
      </c>
      <c r="P78" s="12">
        <v>4524</v>
      </c>
      <c r="Q78" s="133">
        <f t="shared" si="30"/>
        <v>4524</v>
      </c>
      <c r="R78" s="17">
        <f t="shared" si="31"/>
        <v>8094</v>
      </c>
      <c r="S78" s="17">
        <f t="shared" si="32"/>
        <v>3570</v>
      </c>
      <c r="AD78" s="113">
        <f t="shared" si="33"/>
        <v>1870</v>
      </c>
      <c r="AE78" s="66"/>
      <c r="AF78" s="122"/>
      <c r="AG78" s="96"/>
      <c r="AM78" s="12"/>
    </row>
    <row r="79" spans="1:42">
      <c r="A79" s="69" t="s">
        <v>127</v>
      </c>
      <c r="B79" s="10">
        <v>10</v>
      </c>
      <c r="C79" s="10">
        <v>10</v>
      </c>
      <c r="D79" s="10">
        <v>10</v>
      </c>
      <c r="E79" s="23">
        <v>100</v>
      </c>
      <c r="F79" s="11">
        <v>2000</v>
      </c>
      <c r="G79" s="139">
        <v>2700</v>
      </c>
      <c r="H79" s="55">
        <f t="shared" si="28"/>
        <v>4700</v>
      </c>
      <c r="I79" s="136">
        <v>3000</v>
      </c>
      <c r="J79" s="55">
        <f t="shared" si="29"/>
        <v>-1700</v>
      </c>
      <c r="O79" s="23">
        <v>942.50000000000011</v>
      </c>
      <c r="P79" s="12">
        <v>1131</v>
      </c>
      <c r="Q79" s="133">
        <f t="shared" si="30"/>
        <v>2073.5</v>
      </c>
      <c r="R79" s="17">
        <f t="shared" si="31"/>
        <v>2130</v>
      </c>
      <c r="S79" s="17">
        <f t="shared" si="32"/>
        <v>56.5</v>
      </c>
      <c r="AD79" s="113">
        <f t="shared" si="33"/>
        <v>-1643.5</v>
      </c>
      <c r="AE79" s="66"/>
      <c r="AF79" s="122"/>
      <c r="AG79" s="96"/>
      <c r="AM79" s="12">
        <v>275</v>
      </c>
    </row>
    <row r="80" spans="1:42">
      <c r="A80" s="65" t="s">
        <v>128</v>
      </c>
      <c r="B80" s="10">
        <v>20</v>
      </c>
      <c r="C80" s="10">
        <v>23</v>
      </c>
      <c r="D80" s="10">
        <v>19</v>
      </c>
      <c r="E80" s="23">
        <v>95</v>
      </c>
      <c r="F80" s="11">
        <v>2000</v>
      </c>
      <c r="G80" s="139">
        <v>2700</v>
      </c>
      <c r="H80" s="55">
        <f t="shared" si="28"/>
        <v>4700</v>
      </c>
      <c r="I80" s="136">
        <v>3000</v>
      </c>
      <c r="J80" s="55">
        <f t="shared" si="29"/>
        <v>-1700</v>
      </c>
      <c r="O80" s="23">
        <v>1140</v>
      </c>
      <c r="P80" s="12">
        <v>2601.3000000000002</v>
      </c>
      <c r="Q80" s="133">
        <f t="shared" si="30"/>
        <v>3741.3</v>
      </c>
      <c r="R80" s="17">
        <f t="shared" si="31"/>
        <v>4047</v>
      </c>
      <c r="S80" s="17">
        <f t="shared" si="32"/>
        <v>305.69999999999982</v>
      </c>
      <c r="AD80" s="113">
        <f t="shared" si="33"/>
        <v>-1394.3000000000002</v>
      </c>
      <c r="AE80" s="66"/>
      <c r="AF80" s="122"/>
      <c r="AG80" s="96"/>
      <c r="AM80" s="150">
        <v>3000</v>
      </c>
    </row>
    <row r="81" spans="1:39">
      <c r="A81" s="70" t="s">
        <v>129</v>
      </c>
      <c r="B81" s="10">
        <v>71</v>
      </c>
      <c r="C81" s="10">
        <v>71</v>
      </c>
      <c r="D81" s="10">
        <v>62</v>
      </c>
      <c r="E81" s="23">
        <v>87.323943661971825</v>
      </c>
      <c r="F81" s="11">
        <v>0</v>
      </c>
      <c r="G81" s="139">
        <v>2700</v>
      </c>
      <c r="H81" s="55">
        <f t="shared" si="28"/>
        <v>2700</v>
      </c>
      <c r="I81" s="136">
        <v>3000</v>
      </c>
      <c r="J81" s="55">
        <f t="shared" si="29"/>
        <v>300</v>
      </c>
      <c r="O81" s="23">
        <v>7012.2000000000007</v>
      </c>
      <c r="P81" s="12">
        <v>7012.2</v>
      </c>
      <c r="Q81" s="133">
        <f t="shared" si="30"/>
        <v>14024.400000000001</v>
      </c>
      <c r="R81" s="17">
        <f t="shared" si="31"/>
        <v>13206</v>
      </c>
      <c r="S81" s="17">
        <f t="shared" si="32"/>
        <v>-818.40000000000146</v>
      </c>
      <c r="AD81" s="113">
        <f t="shared" si="33"/>
        <v>-518.40000000000146</v>
      </c>
      <c r="AE81" s="66"/>
      <c r="AF81" s="122"/>
      <c r="AG81" s="96"/>
      <c r="AM81" s="10"/>
    </row>
    <row r="82" spans="1:39">
      <c r="A82" s="70" t="s">
        <v>130</v>
      </c>
      <c r="B82" s="10">
        <v>0</v>
      </c>
      <c r="C82" s="10">
        <v>170</v>
      </c>
      <c r="D82" s="10">
        <f>822/6</f>
        <v>137</v>
      </c>
      <c r="E82" s="23"/>
      <c r="F82" s="11">
        <v>2000</v>
      </c>
      <c r="G82" s="139">
        <v>2700</v>
      </c>
      <c r="H82" s="55">
        <f t="shared" si="28"/>
        <v>4700</v>
      </c>
      <c r="I82" s="136">
        <v>3000</v>
      </c>
      <c r="J82" s="55">
        <f t="shared" si="29"/>
        <v>-1700</v>
      </c>
      <c r="O82" s="23">
        <v>8220</v>
      </c>
      <c r="P82" s="12">
        <v>15494.7</v>
      </c>
      <c r="Q82" s="133">
        <f t="shared" si="30"/>
        <v>23714.7</v>
      </c>
      <c r="R82" s="17">
        <f t="shared" si="31"/>
        <v>29181</v>
      </c>
      <c r="S82" s="17">
        <f t="shared" si="32"/>
        <v>5466.2999999999993</v>
      </c>
      <c r="AD82" s="113">
        <f t="shared" si="33"/>
        <v>3766.2999999999993</v>
      </c>
      <c r="AE82" s="66"/>
      <c r="AF82" s="122"/>
      <c r="AG82" s="96"/>
      <c r="AM82" s="10">
        <v>0</v>
      </c>
    </row>
    <row r="83" spans="1:39">
      <c r="A83" s="67" t="s">
        <v>131</v>
      </c>
      <c r="B83" s="10">
        <v>171</v>
      </c>
      <c r="C83" s="10">
        <v>169</v>
      </c>
      <c r="D83" s="10">
        <v>57</v>
      </c>
      <c r="E83" s="23">
        <v>33.333333333333329</v>
      </c>
      <c r="F83" s="11">
        <v>2000</v>
      </c>
      <c r="G83" s="139">
        <v>2700</v>
      </c>
      <c r="H83" s="55">
        <f t="shared" si="28"/>
        <v>4700</v>
      </c>
      <c r="I83" s="136">
        <v>3000</v>
      </c>
      <c r="J83" s="55">
        <f t="shared" si="29"/>
        <v>-1700</v>
      </c>
      <c r="O83" s="23">
        <v>6316.74</v>
      </c>
      <c r="P83" s="12">
        <v>6220.5</v>
      </c>
      <c r="Q83" s="133">
        <f t="shared" si="30"/>
        <v>12537.24</v>
      </c>
      <c r="R83" s="17">
        <f t="shared" si="31"/>
        <v>12141</v>
      </c>
      <c r="S83" s="17">
        <f t="shared" si="32"/>
        <v>-396.23999999999978</v>
      </c>
      <c r="AD83" s="113">
        <f t="shared" si="33"/>
        <v>-2096.2399999999998</v>
      </c>
      <c r="AE83" s="66"/>
      <c r="AF83" s="122"/>
      <c r="AG83" s="96"/>
      <c r="AM83" s="10"/>
    </row>
    <row r="84" spans="1:39">
      <c r="A84" s="70" t="s">
        <v>132</v>
      </c>
      <c r="B84" s="10">
        <v>100</v>
      </c>
      <c r="C84" s="10">
        <v>100</v>
      </c>
      <c r="D84" s="10">
        <v>65</v>
      </c>
      <c r="E84" s="23">
        <v>65</v>
      </c>
      <c r="F84" s="11">
        <v>2000</v>
      </c>
      <c r="G84" s="139">
        <v>2700</v>
      </c>
      <c r="H84" s="55">
        <f t="shared" si="28"/>
        <v>4700</v>
      </c>
      <c r="I84" s="136">
        <v>3000</v>
      </c>
      <c r="J84" s="55">
        <f t="shared" si="29"/>
        <v>-1700</v>
      </c>
      <c r="O84" s="23">
        <v>0</v>
      </c>
      <c r="P84" s="12">
        <v>0</v>
      </c>
      <c r="Q84" s="133">
        <f t="shared" si="30"/>
        <v>0</v>
      </c>
      <c r="R84" s="17">
        <f t="shared" si="31"/>
        <v>13845</v>
      </c>
      <c r="S84" s="17">
        <f t="shared" si="32"/>
        <v>13845</v>
      </c>
      <c r="AD84" s="113">
        <f t="shared" si="33"/>
        <v>12145</v>
      </c>
      <c r="AE84" s="66"/>
      <c r="AF84" s="122"/>
      <c r="AG84" s="96"/>
      <c r="AM84" s="10"/>
    </row>
    <row r="85" spans="1:39">
      <c r="A85" s="71" t="s">
        <v>133</v>
      </c>
      <c r="B85" s="10"/>
      <c r="C85" s="10">
        <v>0</v>
      </c>
      <c r="D85" s="10"/>
      <c r="E85" s="23"/>
      <c r="F85" s="11"/>
      <c r="G85" s="137">
        <v>0</v>
      </c>
      <c r="H85" s="55">
        <f t="shared" si="28"/>
        <v>0</v>
      </c>
      <c r="I85" s="136">
        <v>0</v>
      </c>
      <c r="J85" s="55">
        <f t="shared" si="29"/>
        <v>0</v>
      </c>
      <c r="O85" s="23"/>
      <c r="P85" s="10">
        <v>0</v>
      </c>
      <c r="Q85" s="133">
        <f t="shared" si="30"/>
        <v>0</v>
      </c>
      <c r="R85" s="17">
        <f t="shared" si="31"/>
        <v>0</v>
      </c>
      <c r="S85" s="17">
        <f t="shared" si="32"/>
        <v>0</v>
      </c>
      <c r="AD85" s="113">
        <f t="shared" si="33"/>
        <v>0</v>
      </c>
      <c r="AE85" s="66"/>
      <c r="AF85" s="122"/>
      <c r="AG85" s="96"/>
      <c r="AM85" s="10">
        <v>0</v>
      </c>
    </row>
    <row r="86" spans="1:39">
      <c r="A86" s="71" t="s">
        <v>134</v>
      </c>
      <c r="B86" s="10">
        <v>23</v>
      </c>
      <c r="C86" s="10">
        <v>25</v>
      </c>
      <c r="D86" s="10">
        <v>13</v>
      </c>
      <c r="E86" s="23">
        <v>56.521739130434781</v>
      </c>
      <c r="F86" s="11">
        <v>2000</v>
      </c>
      <c r="G86" s="137">
        <v>2700</v>
      </c>
      <c r="H86" s="55">
        <f t="shared" si="28"/>
        <v>4700</v>
      </c>
      <c r="I86" s="136">
        <v>3000</v>
      </c>
      <c r="J86" s="55">
        <f t="shared" si="29"/>
        <v>-1700</v>
      </c>
      <c r="O86" s="23">
        <v>780</v>
      </c>
      <c r="P86" s="10">
        <v>1470.3</v>
      </c>
      <c r="Q86" s="133">
        <f t="shared" si="30"/>
        <v>2250.3000000000002</v>
      </c>
      <c r="R86" s="17">
        <f t="shared" si="31"/>
        <v>2769</v>
      </c>
      <c r="S86" s="17">
        <f t="shared" si="32"/>
        <v>518.69999999999982</v>
      </c>
      <c r="AD86" s="113">
        <f t="shared" si="33"/>
        <v>-1181.3000000000002</v>
      </c>
      <c r="AE86" s="66"/>
      <c r="AF86" s="122"/>
      <c r="AG86" s="96"/>
      <c r="AM86" s="10"/>
    </row>
    <row r="87" spans="1:39">
      <c r="A87" s="12" t="s">
        <v>135</v>
      </c>
      <c r="B87" s="10">
        <v>147</v>
      </c>
      <c r="C87" s="10"/>
      <c r="D87" s="10">
        <v>147</v>
      </c>
      <c r="E87" s="23">
        <v>100</v>
      </c>
      <c r="F87" s="11">
        <v>2000</v>
      </c>
      <c r="G87" s="137">
        <v>2700</v>
      </c>
      <c r="H87" s="55">
        <f t="shared" si="28"/>
        <v>4700</v>
      </c>
      <c r="I87" s="136">
        <v>3000</v>
      </c>
      <c r="J87" s="55">
        <f t="shared" si="29"/>
        <v>-1700</v>
      </c>
      <c r="O87" s="23">
        <v>5660</v>
      </c>
      <c r="P87" s="10">
        <v>8162.05</v>
      </c>
      <c r="Q87" s="133">
        <f t="shared" si="30"/>
        <v>13822.05</v>
      </c>
      <c r="R87" s="17">
        <f t="shared" si="31"/>
        <v>31311</v>
      </c>
      <c r="S87" s="17">
        <f t="shared" si="32"/>
        <v>17488.95</v>
      </c>
      <c r="AD87" s="113">
        <f t="shared" si="33"/>
        <v>15788.95</v>
      </c>
      <c r="AE87" s="66"/>
      <c r="AF87" s="122"/>
      <c r="AG87" s="96"/>
      <c r="AM87" s="10">
        <v>0</v>
      </c>
    </row>
    <row r="88" spans="1:39" ht="30">
      <c r="A88" s="72" t="s">
        <v>136</v>
      </c>
      <c r="B88" s="10">
        <v>30</v>
      </c>
      <c r="C88" s="10">
        <v>12</v>
      </c>
      <c r="D88" s="10">
        <v>27</v>
      </c>
      <c r="E88" s="23">
        <v>90</v>
      </c>
      <c r="F88" s="11">
        <v>2000</v>
      </c>
      <c r="G88" s="140">
        <v>2700</v>
      </c>
      <c r="H88" s="55">
        <f t="shared" si="28"/>
        <v>4700</v>
      </c>
      <c r="I88" s="136">
        <v>3000</v>
      </c>
      <c r="J88" s="55">
        <f t="shared" si="29"/>
        <v>-1700</v>
      </c>
      <c r="O88" s="23">
        <v>0</v>
      </c>
      <c r="P88" s="10">
        <v>0</v>
      </c>
      <c r="Q88" s="133">
        <f t="shared" si="30"/>
        <v>0</v>
      </c>
      <c r="R88" s="17">
        <f t="shared" si="31"/>
        <v>5751</v>
      </c>
      <c r="S88" s="17">
        <f t="shared" si="32"/>
        <v>5751</v>
      </c>
      <c r="T88" t="s">
        <v>137</v>
      </c>
      <c r="AD88" s="113">
        <f t="shared" si="33"/>
        <v>4051</v>
      </c>
      <c r="AE88" s="66"/>
      <c r="AF88" s="122"/>
      <c r="AG88" s="96"/>
      <c r="AM88" s="10">
        <v>0</v>
      </c>
    </row>
    <row r="89" spans="1:39" ht="15.75" thickBot="1">
      <c r="A89" s="9" t="s">
        <v>101</v>
      </c>
      <c r="B89" s="10"/>
      <c r="C89" s="10"/>
      <c r="D89" s="9">
        <f>SUM(D75:D88)</f>
        <v>654</v>
      </c>
      <c r="F89" s="41">
        <f>SUM(F75:F88)</f>
        <v>22000</v>
      </c>
      <c r="H89" s="41">
        <f>SUM(H75:H88)</f>
        <v>54400</v>
      </c>
      <c r="I89" s="135">
        <f>SUM(I75:I88)</f>
        <v>36000</v>
      </c>
      <c r="J89" s="41">
        <f>SUM(J75:J88)</f>
        <v>-18400</v>
      </c>
      <c r="O89" s="42">
        <f>SUM(O75:O88)</f>
        <v>32781.440000000002</v>
      </c>
      <c r="P89" s="9">
        <f>SUM(P75:P88)</f>
        <v>51931.750000000007</v>
      </c>
      <c r="Q89" s="42">
        <f>SUM(Q75:Q88)</f>
        <v>84713.190000000017</v>
      </c>
      <c r="R89" s="41">
        <f>SUM(R75:R88)</f>
        <v>139302</v>
      </c>
      <c r="S89" s="41">
        <f>SUM(S75:S88)</f>
        <v>54588.81</v>
      </c>
      <c r="T89" s="63">
        <f>J89+S89</f>
        <v>36188.81</v>
      </c>
      <c r="AD89" s="114">
        <f>SUM(AD75:AD88)</f>
        <v>36188.81</v>
      </c>
      <c r="AE89" s="105"/>
      <c r="AF89" s="41"/>
      <c r="AG89" s="93"/>
      <c r="AM89" s="135">
        <v>3275</v>
      </c>
    </row>
    <row r="91" spans="1:39">
      <c r="A91" s="75" t="s">
        <v>138</v>
      </c>
      <c r="D91" s="76">
        <f>D58+D72+D89</f>
        <v>8884</v>
      </c>
      <c r="H91" s="77">
        <f>H58+H72+H89</f>
        <v>406183.5</v>
      </c>
      <c r="I91" s="76">
        <f>I58+I72+I89</f>
        <v>279000</v>
      </c>
      <c r="Q91" s="78">
        <f>Q58+Q72+Q89</f>
        <v>1209153.8699999996</v>
      </c>
      <c r="R91" s="115">
        <f>R58+R72+R89</f>
        <v>1817955</v>
      </c>
      <c r="AE91" s="94"/>
      <c r="AF91" s="94"/>
      <c r="AG91" s="94"/>
    </row>
    <row r="92" spans="1:39">
      <c r="AE92" s="95"/>
      <c r="AF92" s="95"/>
      <c r="AG92" s="95"/>
    </row>
    <row r="93" spans="1:39" ht="15.75" thickBot="1"/>
    <row r="94" spans="1:39">
      <c r="A94" s="79" t="s">
        <v>139</v>
      </c>
    </row>
    <row r="95" spans="1:39" ht="15.75" thickBot="1">
      <c r="A95" s="80">
        <v>3040000</v>
      </c>
    </row>
    <row r="97" spans="1:9">
      <c r="A97" t="s">
        <v>140</v>
      </c>
      <c r="B97" t="s">
        <v>141</v>
      </c>
      <c r="D97" s="81">
        <f>A95*0.7</f>
        <v>2128000</v>
      </c>
      <c r="E97" t="s">
        <v>142</v>
      </c>
      <c r="F97" s="63">
        <f>I91</f>
        <v>279000</v>
      </c>
    </row>
    <row r="98" spans="1:9">
      <c r="A98" t="s">
        <v>143</v>
      </c>
      <c r="B98" t="s">
        <v>144</v>
      </c>
      <c r="E98" t="s">
        <v>145</v>
      </c>
      <c r="F98" s="63">
        <f>D97-F97</f>
        <v>1849000</v>
      </c>
      <c r="G98" t="s">
        <v>146</v>
      </c>
      <c r="H98" s="82">
        <f>F98/D91</f>
        <v>208.12696983340837</v>
      </c>
      <c r="I98" s="51">
        <v>213</v>
      </c>
    </row>
    <row r="99" spans="1:9">
      <c r="A99" s="16" t="s">
        <v>147</v>
      </c>
      <c r="B99" t="s">
        <v>148</v>
      </c>
      <c r="D99" s="81">
        <f>A95*0.3</f>
        <v>912000</v>
      </c>
      <c r="E99" t="s">
        <v>149</v>
      </c>
      <c r="F99" s="81">
        <f>R91</f>
        <v>1817955</v>
      </c>
    </row>
    <row r="101" spans="1:9">
      <c r="A101" s="51" t="s">
        <v>150</v>
      </c>
      <c r="E101" s="83" t="s">
        <v>101</v>
      </c>
      <c r="F101" s="84">
        <f>F97+F99+D99</f>
        <v>3008955</v>
      </c>
    </row>
    <row r="102" spans="1:9">
      <c r="A102" t="s">
        <v>151</v>
      </c>
      <c r="B102" s="85">
        <v>726076.14000000013</v>
      </c>
    </row>
    <row r="103" spans="1:9">
      <c r="A103" t="s">
        <v>152</v>
      </c>
      <c r="B103" s="86">
        <v>126468.83</v>
      </c>
    </row>
    <row r="104" spans="1:9">
      <c r="A104" t="s">
        <v>122</v>
      </c>
      <c r="B104" s="85">
        <v>3275</v>
      </c>
    </row>
    <row r="105" spans="1:9">
      <c r="A105" s="51" t="s">
        <v>101</v>
      </c>
      <c r="B105" s="77">
        <f>SUM(B102:B104)</f>
        <v>855819.97000000009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13"/>
  <sheetViews>
    <sheetView topLeftCell="A71" zoomScaleNormal="100" workbookViewId="0">
      <pane xSplit="1" topLeftCell="Y1" activePane="topRight" state="frozen"/>
      <selection pane="topRight"/>
    </sheetView>
  </sheetViews>
  <sheetFormatPr defaultColWidth="75.140625" defaultRowHeight="15"/>
  <cols>
    <col min="1" max="1" width="42.85546875" customWidth="1"/>
    <col min="2" max="3" width="11.85546875" customWidth="1"/>
    <col min="4" max="4" width="11.28515625" customWidth="1"/>
    <col min="5" max="5" width="14" customWidth="1"/>
    <col min="6" max="6" width="15" customWidth="1"/>
    <col min="7" max="7" width="17" customWidth="1"/>
    <col min="8" max="8" width="11.7109375" customWidth="1"/>
    <col min="9" max="9" width="9.42578125" customWidth="1"/>
    <col min="10" max="10" width="10.5703125" customWidth="1"/>
    <col min="11" max="11" width="19.5703125" customWidth="1"/>
    <col min="12" max="12" width="11.5703125" customWidth="1"/>
    <col min="13" max="13" width="16.140625" customWidth="1"/>
    <col min="14" max="14" width="9.85546875" customWidth="1"/>
    <col min="15" max="15" width="15.7109375" customWidth="1"/>
    <col min="16" max="16" width="14.140625" customWidth="1"/>
    <col min="17" max="17" width="15.7109375" customWidth="1"/>
    <col min="18" max="18" width="15.85546875" style="44" customWidth="1"/>
    <col min="19" max="19" width="12.85546875" style="44" customWidth="1"/>
    <col min="20" max="20" width="19.5703125" customWidth="1"/>
    <col min="21" max="22" width="11.42578125" customWidth="1"/>
    <col min="23" max="23" width="14" customWidth="1"/>
    <col min="24" max="24" width="14" hidden="1" customWidth="1"/>
    <col min="25" max="25" width="12.7109375" customWidth="1"/>
    <col min="26" max="26" width="15.28515625" customWidth="1"/>
    <col min="27" max="27" width="14.5703125" customWidth="1"/>
    <col min="28" max="28" width="15.42578125" customWidth="1"/>
    <col min="29" max="29" width="13.42578125" style="44" customWidth="1"/>
    <col min="30" max="30" width="15.42578125" style="44" customWidth="1"/>
    <col min="31" max="31" width="11.85546875" style="44" customWidth="1"/>
    <col min="32" max="33" width="15.42578125" style="44" customWidth="1"/>
    <col min="34" max="34" width="15.5703125" customWidth="1"/>
    <col min="35" max="35" width="20.28515625" customWidth="1"/>
    <col min="36" max="36" width="17.85546875" style="16" customWidth="1"/>
    <col min="37" max="37" width="12.7109375" style="16" customWidth="1"/>
    <col min="38" max="38" width="17.85546875" style="16" customWidth="1"/>
    <col min="39" max="39" width="13.5703125" style="16" customWidth="1"/>
    <col min="40" max="40" width="27" style="16" customWidth="1"/>
    <col min="41" max="41" width="18.28515625" style="16" customWidth="1"/>
  </cols>
  <sheetData>
    <row r="1" spans="1:41">
      <c r="A1" s="51" t="s">
        <v>219</v>
      </c>
      <c r="B1" s="51" t="s">
        <v>220</v>
      </c>
      <c r="G1" s="51" t="s">
        <v>223</v>
      </c>
    </row>
    <row r="2" spans="1:41" ht="15.75" thickBot="1"/>
    <row r="3" spans="1:41" ht="105">
      <c r="A3" s="87" t="s">
        <v>0</v>
      </c>
      <c r="B3" s="1" t="s">
        <v>1</v>
      </c>
      <c r="C3" s="1" t="s">
        <v>2</v>
      </c>
      <c r="D3" s="2" t="s">
        <v>3</v>
      </c>
      <c r="E3" s="1" t="s">
        <v>153</v>
      </c>
      <c r="F3" s="1" t="s">
        <v>180</v>
      </c>
      <c r="G3" s="1" t="s">
        <v>181</v>
      </c>
      <c r="H3" s="90" t="s">
        <v>4</v>
      </c>
      <c r="I3" s="3" t="s">
        <v>154</v>
      </c>
      <c r="J3" s="4" t="s">
        <v>155</v>
      </c>
      <c r="K3" s="1" t="s">
        <v>7</v>
      </c>
      <c r="L3" s="1"/>
      <c r="M3" s="1"/>
      <c r="N3" s="1"/>
      <c r="O3" s="1" t="s">
        <v>182</v>
      </c>
      <c r="P3" s="1" t="s">
        <v>183</v>
      </c>
      <c r="Q3" s="90" t="s">
        <v>10</v>
      </c>
      <c r="R3" s="3" t="s">
        <v>11</v>
      </c>
      <c r="S3" s="4" t="s">
        <v>12</v>
      </c>
      <c r="T3" s="1" t="s">
        <v>13</v>
      </c>
      <c r="U3" s="1" t="s">
        <v>14</v>
      </c>
      <c r="V3" s="1" t="s">
        <v>15</v>
      </c>
      <c r="W3" s="90" t="s">
        <v>16</v>
      </c>
      <c r="X3" s="2" t="s">
        <v>17</v>
      </c>
      <c r="Y3" s="97" t="s">
        <v>193</v>
      </c>
      <c r="Z3" s="1" t="s">
        <v>184</v>
      </c>
      <c r="AA3" s="1" t="s">
        <v>19</v>
      </c>
      <c r="AB3" s="90" t="s">
        <v>20</v>
      </c>
      <c r="AC3" s="158" t="s">
        <v>194</v>
      </c>
      <c r="AD3" s="106" t="s">
        <v>21</v>
      </c>
      <c r="AE3" s="102" t="s">
        <v>22</v>
      </c>
      <c r="AF3" s="6" t="s">
        <v>23</v>
      </c>
      <c r="AG3" s="97" t="s">
        <v>156</v>
      </c>
      <c r="AH3" s="1" t="s">
        <v>24</v>
      </c>
      <c r="AI3" s="1" t="s">
        <v>25</v>
      </c>
      <c r="AJ3" s="7"/>
      <c r="AK3" s="7"/>
      <c r="AL3" s="7"/>
      <c r="AM3" s="7"/>
      <c r="AN3" s="7"/>
      <c r="AO3" s="8"/>
    </row>
    <row r="4" spans="1:41" ht="18.75">
      <c r="A4" s="88" t="s">
        <v>32</v>
      </c>
      <c r="B4" s="10"/>
      <c r="C4" s="10"/>
      <c r="D4" s="11"/>
      <c r="E4" s="10"/>
      <c r="F4" s="10"/>
      <c r="G4" s="10"/>
      <c r="H4" s="10"/>
      <c r="I4" s="120">
        <v>3000</v>
      </c>
      <c r="J4" s="10"/>
      <c r="K4" s="74" t="s">
        <v>33</v>
      </c>
      <c r="L4" s="74" t="s">
        <v>34</v>
      </c>
      <c r="M4" s="74" t="s">
        <v>35</v>
      </c>
      <c r="N4" s="74" t="s">
        <v>34</v>
      </c>
      <c r="O4" s="74" t="s">
        <v>36</v>
      </c>
      <c r="P4" s="10"/>
      <c r="Q4" s="10"/>
      <c r="R4" s="151">
        <v>213</v>
      </c>
      <c r="S4" s="12"/>
      <c r="T4" s="74" t="s">
        <v>37</v>
      </c>
      <c r="U4" s="74" t="s">
        <v>34</v>
      </c>
      <c r="V4" s="74" t="s">
        <v>34</v>
      </c>
      <c r="W4" s="74" t="s">
        <v>34</v>
      </c>
      <c r="X4" s="10"/>
      <c r="Y4" s="74">
        <v>-1</v>
      </c>
      <c r="Z4" s="74" t="s">
        <v>34</v>
      </c>
      <c r="AA4" s="10"/>
      <c r="AB4" s="10"/>
      <c r="AC4" s="73"/>
      <c r="AD4" s="107"/>
      <c r="AE4" s="68"/>
      <c r="AF4" s="12"/>
      <c r="AG4" s="98">
        <v>0</v>
      </c>
      <c r="AH4" s="10"/>
      <c r="AI4" s="10"/>
      <c r="AJ4" s="15"/>
      <c r="AK4" s="15"/>
      <c r="AL4" s="15"/>
      <c r="AM4" s="15"/>
    </row>
    <row r="5" spans="1:41">
      <c r="A5" s="12" t="s">
        <v>38</v>
      </c>
      <c r="B5" s="17">
        <v>139</v>
      </c>
      <c r="C5" s="12">
        <v>139</v>
      </c>
      <c r="D5" s="17">
        <v>73</v>
      </c>
      <c r="E5" s="18">
        <v>52.517985611510788</v>
      </c>
      <c r="F5" s="18">
        <v>2490</v>
      </c>
      <c r="G5" s="17">
        <v>2490</v>
      </c>
      <c r="H5" s="17">
        <f>F5+G5</f>
        <v>4980</v>
      </c>
      <c r="I5" s="17">
        <v>3000</v>
      </c>
      <c r="J5" s="17">
        <f>I5-H5</f>
        <v>-1980</v>
      </c>
      <c r="K5" s="12">
        <v>352</v>
      </c>
      <c r="L5" s="18">
        <v>4576</v>
      </c>
      <c r="M5" s="18">
        <v>56</v>
      </c>
      <c r="N5" s="18">
        <v>173.6</v>
      </c>
      <c r="O5" s="18">
        <v>4749.6000000000004</v>
      </c>
      <c r="P5" s="18">
        <v>4749.6000000000004</v>
      </c>
      <c r="Q5" s="18">
        <f>O5+P5</f>
        <v>9499.2000000000007</v>
      </c>
      <c r="R5" s="17">
        <f>213*D5</f>
        <v>15549</v>
      </c>
      <c r="S5" s="18">
        <f>R5-Q5</f>
        <v>6049.7999999999993</v>
      </c>
      <c r="T5" s="18">
        <v>298</v>
      </c>
      <c r="U5" s="18">
        <v>0</v>
      </c>
      <c r="V5" s="19">
        <v>9834</v>
      </c>
      <c r="W5" s="19">
        <f>U5+V5</f>
        <v>9834</v>
      </c>
      <c r="X5" s="20">
        <f>W5/33</f>
        <v>298</v>
      </c>
      <c r="Y5" s="19">
        <f>-W5*Y4</f>
        <v>9834</v>
      </c>
      <c r="Z5" s="12"/>
      <c r="AA5" s="21"/>
      <c r="AB5" s="18">
        <f>Z5+AA5</f>
        <v>0</v>
      </c>
      <c r="AC5" s="100">
        <f>-AB5</f>
        <v>0</v>
      </c>
      <c r="AD5" s="108">
        <f>J5+S5+Y5+AC5+AG5</f>
        <v>13903.8</v>
      </c>
      <c r="AE5" s="103">
        <f>E5</f>
        <v>52.517985611510788</v>
      </c>
      <c r="AF5" s="22">
        <f>X5*AE5/100</f>
        <v>156.50359712230215</v>
      </c>
      <c r="AG5" s="22">
        <f>AF5*AG4/AF60</f>
        <v>0</v>
      </c>
      <c r="AH5" s="24"/>
      <c r="AI5" s="24">
        <f t="shared" ref="AI5:AI36" si="0">U5+AH5</f>
        <v>0</v>
      </c>
      <c r="AJ5" s="15"/>
      <c r="AK5" s="15"/>
      <c r="AL5" s="15"/>
      <c r="AM5" s="15"/>
    </row>
    <row r="6" spans="1:41">
      <c r="A6" s="10" t="str">
        <f>'[1]Fredericia Ordningen 2015 - ans'!A4:B4</f>
        <v>Bowlingklubben Pletten</v>
      </c>
      <c r="B6" s="11">
        <f>'[1]Fredericia Ordningen 2015 - ans'!C10</f>
        <v>45</v>
      </c>
      <c r="C6" s="12"/>
      <c r="D6" s="11">
        <f>'[1]Fredericia Ordningen 2015 - ans'!C11</f>
        <v>10</v>
      </c>
      <c r="E6" s="23">
        <f>D6/B6*100</f>
        <v>22.222222222222221</v>
      </c>
      <c r="F6" s="10">
        <f>'[1]Fredericia Ordningen 2015 - ans'!D41</f>
        <v>2489.5</v>
      </c>
      <c r="G6" s="17"/>
      <c r="H6" s="17">
        <f t="shared" ref="H6:H59" si="1">F6+G6</f>
        <v>2489.5</v>
      </c>
      <c r="I6" s="17">
        <v>3000</v>
      </c>
      <c r="J6" s="17">
        <f t="shared" ref="J6:J61" si="2">I6-H6</f>
        <v>510.5</v>
      </c>
      <c r="K6" s="12">
        <f>'[1]Fredericia Ordningen 2015 - ans'!B21</f>
        <v>50</v>
      </c>
      <c r="L6" s="12">
        <f>'[1]Fredericia Ordningen 2015 - ans'!B24</f>
        <v>650</v>
      </c>
      <c r="M6" s="12">
        <f>'[1]Fredericia Ordningen 2015 - ans'!C21</f>
        <v>0</v>
      </c>
      <c r="N6" s="12">
        <f>'[1]Fredericia Ordningen 2015 - ans'!C24</f>
        <v>0</v>
      </c>
      <c r="O6" s="12">
        <f>'[1]Fredericia Ordningen 2015 - ans'!C25</f>
        <v>650</v>
      </c>
      <c r="P6" s="18"/>
      <c r="Q6" s="18">
        <f t="shared" ref="Q6:Q59" si="3">O6+P6</f>
        <v>650</v>
      </c>
      <c r="R6" s="17">
        <f t="shared" ref="R6:R57" si="4">213*D6</f>
        <v>2130</v>
      </c>
      <c r="S6" s="18">
        <f t="shared" ref="S6:S59" si="5">R6-Q6</f>
        <v>1480</v>
      </c>
      <c r="T6" s="12">
        <f>'[1]Fredericia Ordningen 2015 - ans'!B34</f>
        <v>60</v>
      </c>
      <c r="U6" s="12">
        <f>'[1]Fredericia Ordningen 2015 - ans'!B36</f>
        <v>1980</v>
      </c>
      <c r="V6" s="19"/>
      <c r="W6" s="19">
        <f t="shared" ref="W6:W59" si="6">U6+V6</f>
        <v>1980</v>
      </c>
      <c r="X6" s="19"/>
      <c r="Y6" s="19">
        <f>-W6*Y4</f>
        <v>1980</v>
      </c>
      <c r="Z6" s="10"/>
      <c r="AA6" s="21"/>
      <c r="AB6" s="18">
        <f t="shared" ref="AB6:AB59" si="7">Z6+AA6</f>
        <v>0</v>
      </c>
      <c r="AC6" s="100">
        <f t="shared" ref="AC6:AC59" si="8">-AB6</f>
        <v>0</v>
      </c>
      <c r="AD6" s="109">
        <f t="shared" ref="AD6:AD57" si="9">J6+S6+Y6+AC6</f>
        <v>3970.5</v>
      </c>
      <c r="AE6" s="103"/>
      <c r="AF6" s="17"/>
      <c r="AG6" s="17"/>
      <c r="AH6" s="24">
        <f t="shared" ref="AH6:AH59" si="10">F6+O6</f>
        <v>3139.5</v>
      </c>
      <c r="AI6" s="24">
        <f t="shared" si="0"/>
        <v>5119.5</v>
      </c>
      <c r="AJ6" s="15"/>
      <c r="AK6" s="15"/>
      <c r="AL6" s="15"/>
      <c r="AM6" s="15"/>
    </row>
    <row r="7" spans="1:41">
      <c r="A7" s="25" t="s">
        <v>40</v>
      </c>
      <c r="B7" s="26">
        <v>898</v>
      </c>
      <c r="C7" s="12">
        <v>354</v>
      </c>
      <c r="D7" s="26">
        <v>418</v>
      </c>
      <c r="E7" s="27">
        <v>46.547884187082403</v>
      </c>
      <c r="F7" s="25">
        <v>4980</v>
      </c>
      <c r="G7" s="17">
        <v>4980</v>
      </c>
      <c r="H7" s="17">
        <f t="shared" si="1"/>
        <v>9960</v>
      </c>
      <c r="I7" s="17">
        <f>3000*5</f>
        <v>15000</v>
      </c>
      <c r="J7" s="17">
        <f t="shared" si="2"/>
        <v>5040</v>
      </c>
      <c r="K7" s="128">
        <v>1777</v>
      </c>
      <c r="L7" s="128">
        <v>23101</v>
      </c>
      <c r="M7" s="128">
        <v>116</v>
      </c>
      <c r="N7" s="128">
        <v>359.6</v>
      </c>
      <c r="O7" s="128">
        <v>23460.6</v>
      </c>
      <c r="P7" s="18">
        <v>20880.2</v>
      </c>
      <c r="Q7" s="18">
        <f t="shared" si="3"/>
        <v>44340.800000000003</v>
      </c>
      <c r="R7" s="17">
        <f>'[2]Hovedfor. ens (3)'!R11</f>
        <v>91590</v>
      </c>
      <c r="S7" s="18">
        <f t="shared" si="5"/>
        <v>47249.2</v>
      </c>
      <c r="T7" s="128">
        <v>118</v>
      </c>
      <c r="U7" s="128">
        <v>3894</v>
      </c>
      <c r="V7" s="19">
        <v>5098.5</v>
      </c>
      <c r="W7" s="19">
        <f t="shared" si="6"/>
        <v>8992.5</v>
      </c>
      <c r="X7" s="28">
        <f>'[2]Hovedfor. ens (3)'!W6</f>
        <v>60</v>
      </c>
      <c r="Y7" s="19">
        <f>-W7*Y4</f>
        <v>8992.5</v>
      </c>
      <c r="Z7" s="25"/>
      <c r="AA7" s="21">
        <v>0</v>
      </c>
      <c r="AB7" s="18">
        <f t="shared" si="7"/>
        <v>0</v>
      </c>
      <c r="AC7" s="100">
        <f t="shared" si="8"/>
        <v>0</v>
      </c>
      <c r="AD7" s="108">
        <f>J7+S7+Y7+AC7+AG7</f>
        <v>61281.7</v>
      </c>
      <c r="AE7" s="103">
        <f>E7</f>
        <v>46.547884187082403</v>
      </c>
      <c r="AF7" s="22">
        <f>X7*AE7/100</f>
        <v>27.928730512249441</v>
      </c>
      <c r="AG7" s="22">
        <f>AF7*AG4/AF60</f>
        <v>0</v>
      </c>
      <c r="AH7" s="24">
        <f t="shared" si="10"/>
        <v>28440.6</v>
      </c>
      <c r="AI7" s="24">
        <f t="shared" si="0"/>
        <v>32334.6</v>
      </c>
      <c r="AJ7" s="15"/>
      <c r="AK7" s="15"/>
      <c r="AL7" s="15"/>
      <c r="AM7" s="15"/>
    </row>
    <row r="8" spans="1:41">
      <c r="A8" s="12" t="s">
        <v>42</v>
      </c>
      <c r="B8" s="17">
        <v>120</v>
      </c>
      <c r="C8" s="10">
        <v>114</v>
      </c>
      <c r="D8" s="17">
        <v>12</v>
      </c>
      <c r="E8" s="18">
        <v>10</v>
      </c>
      <c r="F8" s="24">
        <v>2489.5</v>
      </c>
      <c r="G8" s="11">
        <v>2490</v>
      </c>
      <c r="H8" s="17">
        <f t="shared" si="1"/>
        <v>4979.5</v>
      </c>
      <c r="I8" s="17">
        <v>3000</v>
      </c>
      <c r="J8" s="17">
        <f t="shared" si="2"/>
        <v>-1979.5</v>
      </c>
      <c r="K8" s="24">
        <v>33</v>
      </c>
      <c r="L8" s="24">
        <v>429</v>
      </c>
      <c r="M8" s="24">
        <v>40</v>
      </c>
      <c r="N8" s="24">
        <v>124</v>
      </c>
      <c r="O8" s="24">
        <v>553</v>
      </c>
      <c r="P8" s="18">
        <v>583.29999999999995</v>
      </c>
      <c r="Q8" s="18">
        <f t="shared" si="3"/>
        <v>1136.3</v>
      </c>
      <c r="R8" s="17">
        <f t="shared" si="4"/>
        <v>2556</v>
      </c>
      <c r="S8" s="18">
        <f t="shared" si="5"/>
        <v>1419.7</v>
      </c>
      <c r="T8" s="24">
        <v>0</v>
      </c>
      <c r="U8" s="24">
        <v>0</v>
      </c>
      <c r="V8" s="12">
        <v>0</v>
      </c>
      <c r="W8" s="19">
        <f t="shared" si="6"/>
        <v>0</v>
      </c>
      <c r="X8" s="19"/>
      <c r="Y8" s="19">
        <f t="shared" ref="Y8:Y13" si="11">-W8</f>
        <v>0</v>
      </c>
      <c r="Z8" s="24"/>
      <c r="AA8" s="21"/>
      <c r="AB8" s="18">
        <f t="shared" si="7"/>
        <v>0</v>
      </c>
      <c r="AC8" s="100">
        <f t="shared" si="8"/>
        <v>0</v>
      </c>
      <c r="AD8" s="109">
        <f t="shared" si="9"/>
        <v>-559.79999999999995</v>
      </c>
      <c r="AE8" s="103"/>
      <c r="AF8" s="17"/>
      <c r="AG8" s="17"/>
      <c r="AH8" s="24">
        <f t="shared" si="10"/>
        <v>3042.5</v>
      </c>
      <c r="AI8" s="24">
        <f t="shared" si="0"/>
        <v>3042.5</v>
      </c>
      <c r="AJ8" s="15"/>
      <c r="AK8" s="15"/>
      <c r="AL8" s="15"/>
      <c r="AM8" s="15"/>
    </row>
    <row r="9" spans="1:41">
      <c r="A9" s="12" t="s">
        <v>44</v>
      </c>
      <c r="B9" s="17">
        <v>86</v>
      </c>
      <c r="C9" s="12">
        <v>99</v>
      </c>
      <c r="D9" s="17">
        <v>74</v>
      </c>
      <c r="E9" s="18">
        <v>86.04651162790698</v>
      </c>
      <c r="F9" s="24">
        <v>2489.5</v>
      </c>
      <c r="G9" s="17">
        <v>2490</v>
      </c>
      <c r="H9" s="17">
        <f t="shared" si="1"/>
        <v>4979.5</v>
      </c>
      <c r="I9" s="17">
        <v>3000</v>
      </c>
      <c r="J9" s="17">
        <f t="shared" si="2"/>
        <v>-1979.5</v>
      </c>
      <c r="K9" s="24">
        <v>366</v>
      </c>
      <c r="L9" s="24">
        <v>4758</v>
      </c>
      <c r="M9" s="24">
        <v>48</v>
      </c>
      <c r="N9" s="24">
        <v>148.80000000000001</v>
      </c>
      <c r="O9" s="24">
        <v>4906.8</v>
      </c>
      <c r="P9" s="18">
        <v>4686</v>
      </c>
      <c r="Q9" s="18">
        <f t="shared" si="3"/>
        <v>9592.7999999999993</v>
      </c>
      <c r="R9" s="17">
        <f t="shared" si="4"/>
        <v>15762</v>
      </c>
      <c r="S9" s="18">
        <f t="shared" si="5"/>
        <v>6169.2000000000007</v>
      </c>
      <c r="T9" s="24">
        <v>0</v>
      </c>
      <c r="U9" s="24">
        <v>0</v>
      </c>
      <c r="V9" s="19">
        <v>0</v>
      </c>
      <c r="W9" s="19">
        <f t="shared" si="6"/>
        <v>0</v>
      </c>
      <c r="X9" s="19"/>
      <c r="Y9" s="19">
        <f t="shared" si="11"/>
        <v>0</v>
      </c>
      <c r="Z9" s="24"/>
      <c r="AA9" s="21"/>
      <c r="AB9" s="18">
        <f t="shared" si="7"/>
        <v>0</v>
      </c>
      <c r="AC9" s="100">
        <f t="shared" si="8"/>
        <v>0</v>
      </c>
      <c r="AD9" s="109">
        <f t="shared" si="9"/>
        <v>4189.7000000000007</v>
      </c>
      <c r="AE9" s="103"/>
      <c r="AF9" s="17"/>
      <c r="AG9" s="17"/>
      <c r="AH9" s="24">
        <f t="shared" si="10"/>
        <v>7396.3</v>
      </c>
      <c r="AI9" s="24">
        <f t="shared" si="0"/>
        <v>7396.3</v>
      </c>
      <c r="AJ9" s="15"/>
      <c r="AK9" s="15"/>
      <c r="AL9" s="15"/>
      <c r="AM9" s="15"/>
    </row>
    <row r="10" spans="1:41">
      <c r="A10" s="12" t="s">
        <v>45</v>
      </c>
      <c r="B10" s="17">
        <v>832</v>
      </c>
      <c r="C10" s="30">
        <v>885</v>
      </c>
      <c r="D10" s="17">
        <v>729</v>
      </c>
      <c r="E10" s="18">
        <v>87.620192307692307</v>
      </c>
      <c r="F10" s="24">
        <v>4980</v>
      </c>
      <c r="G10" s="31">
        <v>4980</v>
      </c>
      <c r="H10" s="17">
        <f t="shared" si="1"/>
        <v>9960</v>
      </c>
      <c r="I10" s="17">
        <v>3000</v>
      </c>
      <c r="J10" s="17">
        <f t="shared" si="2"/>
        <v>-6960</v>
      </c>
      <c r="K10" s="24">
        <v>2993</v>
      </c>
      <c r="L10" s="24">
        <v>38909</v>
      </c>
      <c r="M10" s="24">
        <v>8</v>
      </c>
      <c r="N10" s="24">
        <v>24.8</v>
      </c>
      <c r="O10" s="24">
        <v>38933.800000000003</v>
      </c>
      <c r="P10" s="129">
        <v>51792.7</v>
      </c>
      <c r="Q10" s="18">
        <f t="shared" si="3"/>
        <v>90726.5</v>
      </c>
      <c r="R10" s="17">
        <f t="shared" si="4"/>
        <v>155277</v>
      </c>
      <c r="S10" s="18">
        <f t="shared" si="5"/>
        <v>64550.5</v>
      </c>
      <c r="T10" s="24">
        <v>0</v>
      </c>
      <c r="U10" s="24">
        <v>0</v>
      </c>
      <c r="V10" s="131">
        <v>0</v>
      </c>
      <c r="W10" s="19">
        <f t="shared" si="6"/>
        <v>0</v>
      </c>
      <c r="X10" s="19"/>
      <c r="Y10" s="19">
        <f t="shared" si="11"/>
        <v>0</v>
      </c>
      <c r="Z10" s="24">
        <f>[2]Svømmetimetilskud!J8</f>
        <v>44071.367458789144</v>
      </c>
      <c r="AA10" s="32">
        <v>41313.44641620836</v>
      </c>
      <c r="AB10" s="18">
        <f t="shared" si="7"/>
        <v>85384.813874997504</v>
      </c>
      <c r="AC10" s="100">
        <f>AB10</f>
        <v>85384.813874997504</v>
      </c>
      <c r="AD10" s="109">
        <f t="shared" si="9"/>
        <v>142975.31387499749</v>
      </c>
      <c r="AE10" s="103"/>
      <c r="AF10" s="17"/>
      <c r="AG10" s="17"/>
      <c r="AH10" s="24">
        <f t="shared" si="10"/>
        <v>43913.8</v>
      </c>
      <c r="AI10" s="24">
        <f t="shared" si="0"/>
        <v>43913.8</v>
      </c>
      <c r="AJ10" s="15"/>
      <c r="AK10" s="15"/>
      <c r="AL10" s="15"/>
      <c r="AM10" s="15"/>
    </row>
    <row r="11" spans="1:41">
      <c r="A11" s="10" t="s">
        <v>46</v>
      </c>
      <c r="B11" s="11">
        <v>258</v>
      </c>
      <c r="C11" s="12">
        <v>244</v>
      </c>
      <c r="D11" s="11">
        <v>105</v>
      </c>
      <c r="E11" s="23">
        <v>40.697674418604649</v>
      </c>
      <c r="F11" s="10">
        <v>2489.5</v>
      </c>
      <c r="G11" s="17">
        <v>2490</v>
      </c>
      <c r="H11" s="17">
        <f t="shared" si="1"/>
        <v>4979.5</v>
      </c>
      <c r="I11" s="17">
        <v>3000</v>
      </c>
      <c r="J11" s="17">
        <f t="shared" si="2"/>
        <v>-1979.5</v>
      </c>
      <c r="K11" s="12">
        <v>582</v>
      </c>
      <c r="L11" s="12">
        <v>7566</v>
      </c>
      <c r="M11" s="12">
        <v>48</v>
      </c>
      <c r="N11" s="12">
        <v>148.80000000000001</v>
      </c>
      <c r="O11" s="12">
        <v>7714.8</v>
      </c>
      <c r="P11" s="18">
        <v>7930.2</v>
      </c>
      <c r="Q11" s="18">
        <f t="shared" si="3"/>
        <v>15645</v>
      </c>
      <c r="R11" s="17">
        <f t="shared" si="4"/>
        <v>22365</v>
      </c>
      <c r="S11" s="18">
        <f t="shared" si="5"/>
        <v>6720</v>
      </c>
      <c r="T11" s="12">
        <v>0</v>
      </c>
      <c r="U11" s="12">
        <v>0</v>
      </c>
      <c r="V11" s="19">
        <v>0</v>
      </c>
      <c r="W11" s="19">
        <f t="shared" si="6"/>
        <v>0</v>
      </c>
      <c r="X11" s="19"/>
      <c r="Y11" s="19">
        <f t="shared" si="11"/>
        <v>0</v>
      </c>
      <c r="Z11" s="33">
        <f>[2]Svømmetimetilskud!J4</f>
        <v>3142.1884340545612</v>
      </c>
      <c r="AA11" s="32">
        <v>2853.3560928786133</v>
      </c>
      <c r="AB11" s="18">
        <f t="shared" si="7"/>
        <v>5995.544526933174</v>
      </c>
      <c r="AC11" s="100">
        <f t="shared" ref="AC11:AC12" si="12">AB11</f>
        <v>5995.544526933174</v>
      </c>
      <c r="AD11" s="108">
        <f t="shared" si="9"/>
        <v>10736.044526933174</v>
      </c>
      <c r="AE11" s="103"/>
      <c r="AF11" s="17"/>
      <c r="AG11" s="17"/>
      <c r="AH11" s="24">
        <f t="shared" si="10"/>
        <v>10204.299999999999</v>
      </c>
      <c r="AI11" s="24">
        <f t="shared" si="0"/>
        <v>10204.299999999999</v>
      </c>
      <c r="AJ11" s="15"/>
      <c r="AK11" s="15"/>
      <c r="AL11" s="15"/>
      <c r="AM11" s="15"/>
    </row>
    <row r="12" spans="1:41">
      <c r="A12" s="12" t="s">
        <v>47</v>
      </c>
      <c r="B12" s="17">
        <v>98</v>
      </c>
      <c r="C12" s="10">
        <v>100</v>
      </c>
      <c r="D12" s="17">
        <v>30</v>
      </c>
      <c r="E12" s="18">
        <v>30.612244897959183</v>
      </c>
      <c r="F12" s="24">
        <v>2489.5</v>
      </c>
      <c r="G12" s="11">
        <v>2490</v>
      </c>
      <c r="H12" s="17">
        <f t="shared" si="1"/>
        <v>4979.5</v>
      </c>
      <c r="I12" s="17">
        <v>3000</v>
      </c>
      <c r="J12" s="17">
        <f t="shared" si="2"/>
        <v>-1979.5</v>
      </c>
      <c r="K12" s="24">
        <v>174</v>
      </c>
      <c r="L12" s="24">
        <v>2262</v>
      </c>
      <c r="M12" s="24">
        <v>6</v>
      </c>
      <c r="N12" s="24">
        <v>18.600000000000001</v>
      </c>
      <c r="O12" s="24">
        <v>2280.6</v>
      </c>
      <c r="P12" s="18">
        <v>2387.1</v>
      </c>
      <c r="Q12" s="18">
        <f t="shared" si="3"/>
        <v>4667.7</v>
      </c>
      <c r="R12" s="17">
        <f t="shared" si="4"/>
        <v>6390</v>
      </c>
      <c r="S12" s="18">
        <f t="shared" si="5"/>
        <v>1722.3000000000002</v>
      </c>
      <c r="T12" s="24">
        <v>0</v>
      </c>
      <c r="U12" s="24">
        <v>0</v>
      </c>
      <c r="V12" s="12">
        <v>0</v>
      </c>
      <c r="W12" s="19">
        <f t="shared" si="6"/>
        <v>0</v>
      </c>
      <c r="X12" s="19"/>
      <c r="Y12" s="19">
        <f t="shared" si="11"/>
        <v>0</v>
      </c>
      <c r="Z12" s="24">
        <f>[2]Svømmetimetilskud!J7</f>
        <v>222.27385579555556</v>
      </c>
      <c r="AA12" s="32">
        <v>382.14590529624286</v>
      </c>
      <c r="AB12" s="18">
        <f t="shared" si="7"/>
        <v>604.41976109179836</v>
      </c>
      <c r="AC12" s="100">
        <f t="shared" si="12"/>
        <v>604.41976109179836</v>
      </c>
      <c r="AD12" s="109">
        <f t="shared" si="9"/>
        <v>347.21976109179855</v>
      </c>
      <c r="AE12" s="103"/>
      <c r="AF12" s="17"/>
      <c r="AG12" s="17"/>
      <c r="AH12" s="24">
        <f t="shared" si="10"/>
        <v>4770.1000000000004</v>
      </c>
      <c r="AI12" s="24">
        <f t="shared" si="0"/>
        <v>4770.1000000000004</v>
      </c>
      <c r="AJ12" s="15"/>
      <c r="AK12" s="15"/>
      <c r="AL12" s="15"/>
      <c r="AM12" s="15"/>
    </row>
    <row r="13" spans="1:41">
      <c r="A13" s="12" t="s">
        <v>48</v>
      </c>
      <c r="B13" s="17">
        <v>183</v>
      </c>
      <c r="C13" s="12">
        <v>187</v>
      </c>
      <c r="D13" s="17">
        <v>148</v>
      </c>
      <c r="E13" s="18">
        <v>80.874316939890718</v>
      </c>
      <c r="F13" s="24">
        <v>2489.5</v>
      </c>
      <c r="G13" s="17">
        <v>2490</v>
      </c>
      <c r="H13" s="17">
        <f t="shared" si="1"/>
        <v>4979.5</v>
      </c>
      <c r="I13" s="17">
        <v>3000</v>
      </c>
      <c r="J13" s="17">
        <f t="shared" si="2"/>
        <v>-1979.5</v>
      </c>
      <c r="K13" s="24">
        <v>847</v>
      </c>
      <c r="L13" s="24">
        <v>11011</v>
      </c>
      <c r="M13" s="24">
        <v>40</v>
      </c>
      <c r="N13" s="24">
        <v>124</v>
      </c>
      <c r="O13" s="24">
        <v>11135</v>
      </c>
      <c r="P13" s="18">
        <v>11203.1</v>
      </c>
      <c r="Q13" s="18">
        <f t="shared" si="3"/>
        <v>22338.1</v>
      </c>
      <c r="R13" s="17">
        <f t="shared" si="4"/>
        <v>31524</v>
      </c>
      <c r="S13" s="18">
        <f t="shared" si="5"/>
        <v>9185.9000000000015</v>
      </c>
      <c r="T13" s="24">
        <v>0</v>
      </c>
      <c r="U13" s="24">
        <v>0</v>
      </c>
      <c r="V13" s="19">
        <v>0</v>
      </c>
      <c r="W13" s="19">
        <f t="shared" si="6"/>
        <v>0</v>
      </c>
      <c r="X13" s="19"/>
      <c r="Y13" s="19">
        <f t="shared" si="11"/>
        <v>0</v>
      </c>
      <c r="Z13" s="24"/>
      <c r="AA13" s="21"/>
      <c r="AB13" s="18">
        <f t="shared" si="7"/>
        <v>0</v>
      </c>
      <c r="AC13" s="100">
        <f t="shared" si="8"/>
        <v>0</v>
      </c>
      <c r="AD13" s="109">
        <f t="shared" si="9"/>
        <v>7206.4000000000015</v>
      </c>
      <c r="AE13" s="103"/>
      <c r="AF13" s="17"/>
      <c r="AG13" s="17"/>
      <c r="AH13" s="24">
        <f t="shared" si="10"/>
        <v>13624.5</v>
      </c>
      <c r="AI13" s="24">
        <f t="shared" si="0"/>
        <v>13624.5</v>
      </c>
      <c r="AJ13" s="15"/>
      <c r="AK13" s="15"/>
      <c r="AL13" s="15"/>
      <c r="AM13" s="15"/>
    </row>
    <row r="14" spans="1:41">
      <c r="A14" s="12" t="s">
        <v>49</v>
      </c>
      <c r="B14" s="17">
        <v>123</v>
      </c>
      <c r="C14" s="12">
        <v>159</v>
      </c>
      <c r="D14" s="17">
        <v>41</v>
      </c>
      <c r="E14" s="18">
        <v>33.333333333333329</v>
      </c>
      <c r="F14" s="24">
        <v>2489.5</v>
      </c>
      <c r="G14" s="17">
        <v>2490</v>
      </c>
      <c r="H14" s="17">
        <f t="shared" si="1"/>
        <v>4979.5</v>
      </c>
      <c r="I14" s="17">
        <v>3000</v>
      </c>
      <c r="J14" s="17">
        <f t="shared" si="2"/>
        <v>-1979.5</v>
      </c>
      <c r="K14" s="24">
        <v>139</v>
      </c>
      <c r="L14" s="24">
        <v>1807</v>
      </c>
      <c r="M14" s="24">
        <v>0</v>
      </c>
      <c r="N14" s="24">
        <v>0</v>
      </c>
      <c r="O14" s="24">
        <v>1807</v>
      </c>
      <c r="P14" s="18">
        <v>2579.6</v>
      </c>
      <c r="Q14" s="18">
        <f t="shared" si="3"/>
        <v>4386.6000000000004</v>
      </c>
      <c r="R14" s="17">
        <f t="shared" si="4"/>
        <v>8733</v>
      </c>
      <c r="S14" s="18">
        <f t="shared" si="5"/>
        <v>4346.3999999999996</v>
      </c>
      <c r="T14" s="24">
        <v>159</v>
      </c>
      <c r="U14" s="24">
        <v>5247</v>
      </c>
      <c r="V14" s="19">
        <v>5494.5</v>
      </c>
      <c r="W14" s="19">
        <f t="shared" si="6"/>
        <v>10741.5</v>
      </c>
      <c r="X14" s="28">
        <f>W14/33</f>
        <v>325.5</v>
      </c>
      <c r="Y14" s="19">
        <f>-W14*Y4</f>
        <v>10741.5</v>
      </c>
      <c r="Z14" s="24"/>
      <c r="AA14" s="21"/>
      <c r="AB14" s="18">
        <f t="shared" si="7"/>
        <v>0</v>
      </c>
      <c r="AC14" s="100">
        <f t="shared" si="8"/>
        <v>0</v>
      </c>
      <c r="AD14" s="108">
        <f>J14+S14+Y14+AC14+AG14</f>
        <v>13108.4</v>
      </c>
      <c r="AE14" s="103">
        <f>E14</f>
        <v>33.333333333333329</v>
      </c>
      <c r="AF14" s="22">
        <f>X14*AE14/100</f>
        <v>108.49999999999999</v>
      </c>
      <c r="AG14" s="22">
        <f>AF14*AG4/AF60</f>
        <v>0</v>
      </c>
      <c r="AH14" s="24">
        <f t="shared" si="10"/>
        <v>4296.5</v>
      </c>
      <c r="AI14" s="24">
        <f t="shared" si="0"/>
        <v>9543.5</v>
      </c>
      <c r="AJ14" s="15"/>
      <c r="AK14" s="15"/>
      <c r="AL14" s="15"/>
      <c r="AM14" s="15"/>
    </row>
    <row r="15" spans="1:41">
      <c r="A15" s="10" t="s">
        <v>51</v>
      </c>
      <c r="B15" s="11">
        <v>59</v>
      </c>
      <c r="C15" s="12">
        <v>61</v>
      </c>
      <c r="D15" s="11">
        <v>26</v>
      </c>
      <c r="E15" s="23">
        <v>44.067796610169488</v>
      </c>
      <c r="F15" s="14">
        <v>2489.5</v>
      </c>
      <c r="G15" s="17">
        <v>2490</v>
      </c>
      <c r="H15" s="17">
        <f t="shared" si="1"/>
        <v>4979.5</v>
      </c>
      <c r="I15" s="17">
        <v>3000</v>
      </c>
      <c r="J15" s="17">
        <f t="shared" si="2"/>
        <v>-1979.5</v>
      </c>
      <c r="K15" s="24">
        <v>78</v>
      </c>
      <c r="L15" s="24">
        <v>1014</v>
      </c>
      <c r="M15" s="24">
        <v>0</v>
      </c>
      <c r="N15" s="24">
        <v>0</v>
      </c>
      <c r="O15" s="24">
        <v>1014</v>
      </c>
      <c r="P15" s="18">
        <v>1092</v>
      </c>
      <c r="Q15" s="18">
        <f t="shared" si="3"/>
        <v>2106</v>
      </c>
      <c r="R15" s="17">
        <f t="shared" si="4"/>
        <v>5538</v>
      </c>
      <c r="S15" s="18">
        <f t="shared" si="5"/>
        <v>3432</v>
      </c>
      <c r="T15" s="24">
        <v>0</v>
      </c>
      <c r="U15" s="24">
        <v>0</v>
      </c>
      <c r="V15" s="19">
        <v>0</v>
      </c>
      <c r="W15" s="19">
        <f t="shared" si="6"/>
        <v>0</v>
      </c>
      <c r="X15" s="19"/>
      <c r="Y15" s="19">
        <f>-W15</f>
        <v>0</v>
      </c>
      <c r="Z15" s="14"/>
      <c r="AA15" s="21">
        <v>0</v>
      </c>
      <c r="AB15" s="18">
        <f t="shared" si="7"/>
        <v>0</v>
      </c>
      <c r="AC15" s="100">
        <f t="shared" si="8"/>
        <v>0</v>
      </c>
      <c r="AD15" s="109">
        <f t="shared" si="9"/>
        <v>1452.5</v>
      </c>
      <c r="AE15" s="103"/>
      <c r="AF15" s="17"/>
      <c r="AG15" s="17"/>
      <c r="AH15" s="24">
        <f t="shared" si="10"/>
        <v>3503.5</v>
      </c>
      <c r="AI15" s="24">
        <f t="shared" si="0"/>
        <v>3503.5</v>
      </c>
      <c r="AJ15" s="15"/>
      <c r="AK15" s="15"/>
      <c r="AL15" s="15"/>
      <c r="AM15" s="15"/>
    </row>
    <row r="16" spans="1:41">
      <c r="A16" s="12" t="s">
        <v>52</v>
      </c>
      <c r="B16" s="17">
        <v>2645</v>
      </c>
      <c r="C16" s="10">
        <v>1559</v>
      </c>
      <c r="D16" s="17">
        <v>1888</v>
      </c>
      <c r="E16" s="18">
        <v>71.379962192816635</v>
      </c>
      <c r="F16" s="24">
        <v>4980</v>
      </c>
      <c r="G16" s="11">
        <v>4980</v>
      </c>
      <c r="H16" s="17">
        <f t="shared" si="1"/>
        <v>9960</v>
      </c>
      <c r="I16" s="17">
        <f>3000*7</f>
        <v>21000</v>
      </c>
      <c r="J16" s="17">
        <f t="shared" si="2"/>
        <v>11040</v>
      </c>
      <c r="K16" s="24">
        <v>9316</v>
      </c>
      <c r="L16" s="24">
        <v>121108</v>
      </c>
      <c r="M16" s="24">
        <v>211</v>
      </c>
      <c r="N16" s="24">
        <v>654.1</v>
      </c>
      <c r="O16" s="24">
        <v>121762.1</v>
      </c>
      <c r="P16" s="18">
        <v>113502.39999999999</v>
      </c>
      <c r="Q16" s="18">
        <f t="shared" si="3"/>
        <v>235264.5</v>
      </c>
      <c r="R16" s="17">
        <f>'[2]Hovedfor. ens (3)'!R21</f>
        <v>379140</v>
      </c>
      <c r="S16" s="18">
        <f t="shared" si="5"/>
        <v>143875.5</v>
      </c>
      <c r="T16" s="24">
        <v>820.25</v>
      </c>
      <c r="U16" s="24">
        <v>27068.25</v>
      </c>
      <c r="V16" s="24">
        <v>31647</v>
      </c>
      <c r="W16" s="19">
        <f t="shared" si="6"/>
        <v>58715.25</v>
      </c>
      <c r="X16" s="28">
        <f>'[2]Hovedfor. ens (3)'!W14+'[2]Hovedfor. ens (3)'!W15</f>
        <v>892.24242424242425</v>
      </c>
      <c r="Y16" s="19">
        <f>-W16*Y4</f>
        <v>58715.25</v>
      </c>
      <c r="Z16" s="24">
        <f>[2]Svømmetimetilskud!J5</f>
        <v>44503.305890378826</v>
      </c>
      <c r="AA16" s="32">
        <v>47575.693152736261</v>
      </c>
      <c r="AB16" s="18">
        <f t="shared" si="7"/>
        <v>92078.999043115095</v>
      </c>
      <c r="AC16" s="100">
        <f>AB16</f>
        <v>92078.999043115095</v>
      </c>
      <c r="AD16" s="109">
        <f>J16+S16+Y16+AC16+AG16</f>
        <v>305709.74904311507</v>
      </c>
      <c r="AE16" s="103">
        <f t="shared" ref="AE16:AE21" si="13">E16</f>
        <v>71.379962192816635</v>
      </c>
      <c r="AF16" s="17">
        <f>X16*AE16/100</f>
        <v>636.88230509251309</v>
      </c>
      <c r="AG16" s="17">
        <f>AF16*AG4/AF60</f>
        <v>0</v>
      </c>
      <c r="AH16" s="24">
        <f t="shared" si="10"/>
        <v>126742.1</v>
      </c>
      <c r="AI16" s="24">
        <f t="shared" si="0"/>
        <v>153810.35</v>
      </c>
      <c r="AJ16" s="15"/>
      <c r="AK16" s="15"/>
      <c r="AL16" s="15"/>
      <c r="AM16" s="15"/>
    </row>
    <row r="17" spans="1:39">
      <c r="A17" s="12" t="s">
        <v>53</v>
      </c>
      <c r="B17" s="17">
        <v>166</v>
      </c>
      <c r="C17" s="10">
        <v>177</v>
      </c>
      <c r="D17" s="17">
        <v>72</v>
      </c>
      <c r="E17" s="18">
        <v>43.373493975903614</v>
      </c>
      <c r="F17" s="24">
        <v>2489.5</v>
      </c>
      <c r="G17" s="11">
        <v>2490</v>
      </c>
      <c r="H17" s="17">
        <f t="shared" si="1"/>
        <v>4979.5</v>
      </c>
      <c r="I17" s="17">
        <v>3000</v>
      </c>
      <c r="J17" s="17">
        <f t="shared" si="2"/>
        <v>-1979.5</v>
      </c>
      <c r="K17" s="24">
        <v>362</v>
      </c>
      <c r="L17" s="24">
        <v>4706</v>
      </c>
      <c r="M17" s="24">
        <v>28</v>
      </c>
      <c r="N17" s="24">
        <v>86.8</v>
      </c>
      <c r="O17" s="24">
        <v>4792.8</v>
      </c>
      <c r="P17" s="18">
        <v>6009.8</v>
      </c>
      <c r="Q17" s="18">
        <f t="shared" si="3"/>
        <v>10802.6</v>
      </c>
      <c r="R17" s="17">
        <f t="shared" si="4"/>
        <v>15336</v>
      </c>
      <c r="S17" s="18">
        <f t="shared" si="5"/>
        <v>4533.3999999999996</v>
      </c>
      <c r="T17" s="24">
        <v>368</v>
      </c>
      <c r="U17" s="24">
        <v>12144</v>
      </c>
      <c r="V17" s="12">
        <v>11500.5</v>
      </c>
      <c r="W17" s="19">
        <f t="shared" si="6"/>
        <v>23644.5</v>
      </c>
      <c r="X17" s="28">
        <f>W17/33</f>
        <v>716.5</v>
      </c>
      <c r="Y17" s="19">
        <f>-W17*Y4</f>
        <v>23644.5</v>
      </c>
      <c r="Z17" s="24"/>
      <c r="AA17" s="21"/>
      <c r="AB17" s="18">
        <f t="shared" si="7"/>
        <v>0</v>
      </c>
      <c r="AC17" s="100">
        <f t="shared" si="8"/>
        <v>0</v>
      </c>
      <c r="AD17" s="109">
        <f>J17+S17+Y17+AC17+AG17</f>
        <v>26198.400000000001</v>
      </c>
      <c r="AE17" s="103">
        <f t="shared" si="13"/>
        <v>43.373493975903614</v>
      </c>
      <c r="AF17" s="17">
        <f>X17*AE17/100</f>
        <v>310.77108433734941</v>
      </c>
      <c r="AG17" s="17">
        <f>AF17*AG4/AF60</f>
        <v>0</v>
      </c>
      <c r="AH17" s="24">
        <f t="shared" si="10"/>
        <v>7282.3</v>
      </c>
      <c r="AI17" s="24">
        <f t="shared" si="0"/>
        <v>19426.3</v>
      </c>
      <c r="AJ17" s="15"/>
      <c r="AK17" s="15"/>
      <c r="AL17" s="15"/>
      <c r="AM17" s="15"/>
    </row>
    <row r="18" spans="1:39">
      <c r="A18" s="10" t="s">
        <v>54</v>
      </c>
      <c r="B18" s="11">
        <v>86</v>
      </c>
      <c r="C18" s="12">
        <v>88</v>
      </c>
      <c r="D18" s="11">
        <v>52</v>
      </c>
      <c r="E18" s="23">
        <v>60.465116279069761</v>
      </c>
      <c r="F18" s="10">
        <v>2489.5</v>
      </c>
      <c r="G18" s="17">
        <v>2490</v>
      </c>
      <c r="H18" s="17">
        <f t="shared" si="1"/>
        <v>4979.5</v>
      </c>
      <c r="I18" s="17">
        <v>3000</v>
      </c>
      <c r="J18" s="17">
        <f t="shared" si="2"/>
        <v>-1979.5</v>
      </c>
      <c r="K18" s="12">
        <v>300</v>
      </c>
      <c r="L18" s="12">
        <v>3900</v>
      </c>
      <c r="M18" s="12">
        <v>12</v>
      </c>
      <c r="N18" s="12">
        <v>37.200000000000003</v>
      </c>
      <c r="O18" s="12">
        <v>3937.2</v>
      </c>
      <c r="P18" s="18">
        <v>4286.3999999999996</v>
      </c>
      <c r="Q18" s="18">
        <f t="shared" si="3"/>
        <v>8223.5999999999985</v>
      </c>
      <c r="R18" s="17">
        <f t="shared" si="4"/>
        <v>11076</v>
      </c>
      <c r="S18" s="18">
        <f t="shared" si="5"/>
        <v>2852.4000000000015</v>
      </c>
      <c r="T18" s="12">
        <v>315</v>
      </c>
      <c r="U18" s="24">
        <v>10395</v>
      </c>
      <c r="V18" s="19">
        <v>10296</v>
      </c>
      <c r="W18" s="19">
        <f t="shared" si="6"/>
        <v>20691</v>
      </c>
      <c r="X18" s="28">
        <f>W18/33</f>
        <v>627</v>
      </c>
      <c r="Y18" s="19">
        <f>-W18*Y4</f>
        <v>20691</v>
      </c>
      <c r="Z18" s="10"/>
      <c r="AA18" s="21">
        <v>0</v>
      </c>
      <c r="AB18" s="18">
        <f t="shared" si="7"/>
        <v>0</v>
      </c>
      <c r="AC18" s="100">
        <f t="shared" si="8"/>
        <v>0</v>
      </c>
      <c r="AD18" s="109">
        <f>J18+S18+Y18+AC18+AG18</f>
        <v>21563.9</v>
      </c>
      <c r="AE18" s="103">
        <f t="shared" si="13"/>
        <v>60.465116279069761</v>
      </c>
      <c r="AF18" s="17">
        <f>X18*AE18/100</f>
        <v>379.11627906976742</v>
      </c>
      <c r="AG18" s="17">
        <f>AF18*AG4/AF60</f>
        <v>0</v>
      </c>
      <c r="AH18" s="24">
        <f t="shared" si="10"/>
        <v>6426.7</v>
      </c>
      <c r="AI18" s="24">
        <f t="shared" si="0"/>
        <v>16821.7</v>
      </c>
      <c r="AJ18" s="15"/>
      <c r="AK18" s="15"/>
      <c r="AL18" s="15"/>
      <c r="AM18" s="15"/>
    </row>
    <row r="19" spans="1:39">
      <c r="A19" s="12" t="s">
        <v>55</v>
      </c>
      <c r="B19" s="17">
        <v>43</v>
      </c>
      <c r="C19" s="12">
        <v>43</v>
      </c>
      <c r="D19" s="17">
        <v>27</v>
      </c>
      <c r="E19" s="18">
        <v>62.790697674418603</v>
      </c>
      <c r="F19" s="18">
        <v>2490</v>
      </c>
      <c r="G19" s="17">
        <v>2490</v>
      </c>
      <c r="H19" s="17">
        <f t="shared" si="1"/>
        <v>4980</v>
      </c>
      <c r="I19" s="17">
        <v>3000</v>
      </c>
      <c r="J19" s="17">
        <f t="shared" si="2"/>
        <v>-1980</v>
      </c>
      <c r="K19" s="12">
        <v>135</v>
      </c>
      <c r="L19" s="18">
        <v>1755</v>
      </c>
      <c r="M19" s="18">
        <v>0</v>
      </c>
      <c r="N19" s="18">
        <v>0</v>
      </c>
      <c r="O19" s="18">
        <v>1755</v>
      </c>
      <c r="P19" s="18">
        <v>1755</v>
      </c>
      <c r="Q19" s="18">
        <f t="shared" si="3"/>
        <v>3510</v>
      </c>
      <c r="R19" s="17">
        <f t="shared" si="4"/>
        <v>5751</v>
      </c>
      <c r="S19" s="18">
        <f t="shared" si="5"/>
        <v>2241</v>
      </c>
      <c r="T19" s="18">
        <v>105</v>
      </c>
      <c r="U19" s="18">
        <v>0</v>
      </c>
      <c r="V19" s="19">
        <v>3465</v>
      </c>
      <c r="W19" s="19">
        <f t="shared" si="6"/>
        <v>3465</v>
      </c>
      <c r="X19" s="28">
        <f>W19/33</f>
        <v>105</v>
      </c>
      <c r="Y19" s="19">
        <f>-W19*Y4</f>
        <v>3465</v>
      </c>
      <c r="Z19" s="12"/>
      <c r="AA19" s="21">
        <v>0</v>
      </c>
      <c r="AB19" s="18">
        <f t="shared" si="7"/>
        <v>0</v>
      </c>
      <c r="AC19" s="100">
        <f t="shared" si="8"/>
        <v>0</v>
      </c>
      <c r="AD19" s="108">
        <f>J19+S19+Y19+AC19+AG19</f>
        <v>3726</v>
      </c>
      <c r="AE19" s="103">
        <f t="shared" si="13"/>
        <v>62.790697674418603</v>
      </c>
      <c r="AF19" s="17">
        <f>X19*AE19/100</f>
        <v>65.930232558139537</v>
      </c>
      <c r="AG19" s="17">
        <f>AF19*AG4/AF60</f>
        <v>0</v>
      </c>
      <c r="AH19" s="24"/>
      <c r="AI19" s="24">
        <f t="shared" si="0"/>
        <v>0</v>
      </c>
      <c r="AJ19" s="15"/>
      <c r="AK19" s="15"/>
      <c r="AL19" s="15"/>
      <c r="AM19" s="15"/>
    </row>
    <row r="20" spans="1:39">
      <c r="A20" s="12" t="s">
        <v>56</v>
      </c>
      <c r="B20" s="17"/>
      <c r="C20" s="12"/>
      <c r="D20" s="17"/>
      <c r="E20" s="18"/>
      <c r="F20" s="24"/>
      <c r="G20" s="17"/>
      <c r="H20" s="17">
        <f t="shared" si="1"/>
        <v>0</v>
      </c>
      <c r="I20" s="17"/>
      <c r="J20" s="17"/>
      <c r="K20" s="24"/>
      <c r="L20" s="24"/>
      <c r="M20" s="24"/>
      <c r="N20" s="24"/>
      <c r="O20" s="24"/>
      <c r="P20" s="18"/>
      <c r="Q20" s="18">
        <f t="shared" si="3"/>
        <v>0</v>
      </c>
      <c r="R20" s="17">
        <f t="shared" si="4"/>
        <v>0</v>
      </c>
      <c r="S20" s="18">
        <f t="shared" si="5"/>
        <v>0</v>
      </c>
      <c r="T20" s="24"/>
      <c r="U20" s="24"/>
      <c r="V20" s="19"/>
      <c r="W20" s="19">
        <f t="shared" si="6"/>
        <v>0</v>
      </c>
      <c r="X20" s="19"/>
      <c r="Y20" s="19">
        <f>-W20</f>
        <v>0</v>
      </c>
      <c r="Z20" s="24"/>
      <c r="AA20" s="21"/>
      <c r="AB20" s="18">
        <f t="shared" si="7"/>
        <v>0</v>
      </c>
      <c r="AC20" s="100">
        <f t="shared" si="8"/>
        <v>0</v>
      </c>
      <c r="AD20" s="109">
        <f t="shared" si="9"/>
        <v>0</v>
      </c>
      <c r="AE20" s="103">
        <f t="shared" si="13"/>
        <v>0</v>
      </c>
      <c r="AF20" s="17"/>
      <c r="AG20" s="17"/>
      <c r="AH20" s="24">
        <f t="shared" si="10"/>
        <v>0</v>
      </c>
      <c r="AI20" s="24">
        <f t="shared" si="0"/>
        <v>0</v>
      </c>
      <c r="AJ20" s="15"/>
      <c r="AK20" s="15"/>
      <c r="AL20" s="15"/>
      <c r="AM20" s="15"/>
    </row>
    <row r="21" spans="1:39">
      <c r="A21" s="12" t="s">
        <v>57</v>
      </c>
      <c r="B21" s="11">
        <v>24</v>
      </c>
      <c r="C21" s="12">
        <v>49</v>
      </c>
      <c r="D21" s="11">
        <v>8</v>
      </c>
      <c r="E21" s="23">
        <v>33.333333333333329</v>
      </c>
      <c r="F21" s="12">
        <v>2489.5</v>
      </c>
      <c r="G21" s="17">
        <v>2490</v>
      </c>
      <c r="H21" s="17">
        <f t="shared" si="1"/>
        <v>4979.5</v>
      </c>
      <c r="I21" s="17">
        <v>3000</v>
      </c>
      <c r="J21" s="17">
        <f t="shared" si="2"/>
        <v>-1979.5</v>
      </c>
      <c r="K21" s="10">
        <v>55</v>
      </c>
      <c r="L21" s="10">
        <v>715</v>
      </c>
      <c r="M21" s="10">
        <v>18</v>
      </c>
      <c r="N21" s="10">
        <v>55.800000000000004</v>
      </c>
      <c r="O21" s="10">
        <v>770.8</v>
      </c>
      <c r="P21" s="18">
        <v>372.7</v>
      </c>
      <c r="Q21" s="18">
        <f t="shared" si="3"/>
        <v>1143.5</v>
      </c>
      <c r="R21" s="17">
        <f t="shared" si="4"/>
        <v>1704</v>
      </c>
      <c r="S21" s="18">
        <f t="shared" si="5"/>
        <v>560.5</v>
      </c>
      <c r="T21" s="12">
        <v>182</v>
      </c>
      <c r="U21" s="12">
        <v>6006</v>
      </c>
      <c r="V21" s="19">
        <v>6798</v>
      </c>
      <c r="W21" s="19">
        <f t="shared" si="6"/>
        <v>12804</v>
      </c>
      <c r="X21" s="20">
        <f>W21/33</f>
        <v>388</v>
      </c>
      <c r="Y21" s="19">
        <f>-W21*Y4</f>
        <v>12804</v>
      </c>
      <c r="Z21" s="12"/>
      <c r="AA21" s="21"/>
      <c r="AB21" s="18">
        <f t="shared" si="7"/>
        <v>0</v>
      </c>
      <c r="AC21" s="100">
        <f t="shared" si="8"/>
        <v>0</v>
      </c>
      <c r="AD21" s="109">
        <f>J21+S21+Y21+AC21+AG21</f>
        <v>11385</v>
      </c>
      <c r="AE21" s="103">
        <f t="shared" si="13"/>
        <v>33.333333333333329</v>
      </c>
      <c r="AF21" s="17">
        <f>X21*AE21/100</f>
        <v>129.33333333333331</v>
      </c>
      <c r="AG21" s="17">
        <f>AF21*AG4/AF60</f>
        <v>0</v>
      </c>
      <c r="AH21" s="24">
        <f t="shared" si="10"/>
        <v>3260.3</v>
      </c>
      <c r="AI21" s="24">
        <f t="shared" si="0"/>
        <v>9266.2999999999993</v>
      </c>
      <c r="AJ21" s="15"/>
      <c r="AK21" s="15"/>
      <c r="AL21" s="15"/>
      <c r="AM21" s="15"/>
    </row>
    <row r="22" spans="1:39">
      <c r="A22" s="12" t="s">
        <v>59</v>
      </c>
      <c r="B22" s="17">
        <v>58</v>
      </c>
      <c r="C22" s="12">
        <v>53</v>
      </c>
      <c r="D22" s="17">
        <v>30</v>
      </c>
      <c r="E22" s="18">
        <v>51.724137931034484</v>
      </c>
      <c r="F22" s="24">
        <v>2489.5</v>
      </c>
      <c r="G22" s="17">
        <v>2490</v>
      </c>
      <c r="H22" s="17">
        <f t="shared" si="1"/>
        <v>4979.5</v>
      </c>
      <c r="I22" s="17">
        <v>3000</v>
      </c>
      <c r="J22" s="17">
        <f t="shared" si="2"/>
        <v>-1979.5</v>
      </c>
      <c r="K22" s="24">
        <v>120</v>
      </c>
      <c r="L22" s="24">
        <v>1560</v>
      </c>
      <c r="M22" s="24">
        <v>52</v>
      </c>
      <c r="N22" s="24">
        <v>161.20000000000002</v>
      </c>
      <c r="O22" s="24">
        <v>1721.2</v>
      </c>
      <c r="P22" s="18">
        <v>1749.6</v>
      </c>
      <c r="Q22" s="18">
        <f t="shared" si="3"/>
        <v>3470.8</v>
      </c>
      <c r="R22" s="17">
        <f t="shared" si="4"/>
        <v>6390</v>
      </c>
      <c r="S22" s="18">
        <f t="shared" si="5"/>
        <v>2919.2</v>
      </c>
      <c r="T22" s="24">
        <v>0</v>
      </c>
      <c r="U22" s="24">
        <v>0</v>
      </c>
      <c r="V22" s="19">
        <v>0</v>
      </c>
      <c r="W22" s="19">
        <f t="shared" si="6"/>
        <v>0</v>
      </c>
      <c r="X22" s="19"/>
      <c r="Y22" s="19">
        <f>-W22</f>
        <v>0</v>
      </c>
      <c r="Z22" s="24"/>
      <c r="AA22" s="21"/>
      <c r="AB22" s="18">
        <f t="shared" si="7"/>
        <v>0</v>
      </c>
      <c r="AC22" s="100">
        <f t="shared" si="8"/>
        <v>0</v>
      </c>
      <c r="AD22" s="109">
        <f t="shared" si="9"/>
        <v>939.69999999999982</v>
      </c>
      <c r="AE22" s="103"/>
      <c r="AF22" s="17"/>
      <c r="AG22" s="17"/>
      <c r="AH22" s="24">
        <f t="shared" si="10"/>
        <v>4210.7</v>
      </c>
      <c r="AI22" s="24">
        <f t="shared" si="0"/>
        <v>4210.7</v>
      </c>
      <c r="AJ22" s="15"/>
      <c r="AK22" s="15"/>
      <c r="AL22" s="15"/>
      <c r="AM22" s="15"/>
    </row>
    <row r="23" spans="1:39">
      <c r="A23" s="12" t="s">
        <v>60</v>
      </c>
      <c r="B23" s="11">
        <v>170</v>
      </c>
      <c r="C23" s="12">
        <v>106</v>
      </c>
      <c r="D23" s="11">
        <v>42</v>
      </c>
      <c r="E23" s="23">
        <v>24.705882352941178</v>
      </c>
      <c r="F23" s="12">
        <v>2489.5</v>
      </c>
      <c r="G23" s="17">
        <v>2490</v>
      </c>
      <c r="H23" s="17">
        <f t="shared" si="1"/>
        <v>4979.5</v>
      </c>
      <c r="I23" s="17">
        <v>3000</v>
      </c>
      <c r="J23" s="17">
        <f t="shared" si="2"/>
        <v>-1979.5</v>
      </c>
      <c r="K23" s="10">
        <v>78</v>
      </c>
      <c r="L23" s="10">
        <v>1014</v>
      </c>
      <c r="M23" s="10">
        <v>96</v>
      </c>
      <c r="N23" s="10">
        <v>297.60000000000002</v>
      </c>
      <c r="O23" s="10">
        <v>1311.6</v>
      </c>
      <c r="P23" s="18">
        <v>1575</v>
      </c>
      <c r="Q23" s="18">
        <f t="shared" si="3"/>
        <v>2886.6</v>
      </c>
      <c r="R23" s="17">
        <f t="shared" si="4"/>
        <v>8946</v>
      </c>
      <c r="S23" s="18">
        <f t="shared" si="5"/>
        <v>6059.4</v>
      </c>
      <c r="T23" s="12">
        <v>0</v>
      </c>
      <c r="U23" s="12">
        <v>0</v>
      </c>
      <c r="V23" s="19">
        <v>0</v>
      </c>
      <c r="W23" s="19">
        <f t="shared" si="6"/>
        <v>0</v>
      </c>
      <c r="X23" s="19"/>
      <c r="Y23" s="19">
        <f>-W23</f>
        <v>0</v>
      </c>
      <c r="Z23" s="12"/>
      <c r="AA23" s="21"/>
      <c r="AB23" s="18">
        <f t="shared" si="7"/>
        <v>0</v>
      </c>
      <c r="AC23" s="100">
        <f t="shared" si="8"/>
        <v>0</v>
      </c>
      <c r="AD23" s="109">
        <f t="shared" si="9"/>
        <v>4079.8999999999996</v>
      </c>
      <c r="AE23" s="103"/>
      <c r="AF23" s="17"/>
      <c r="AG23" s="17"/>
      <c r="AH23" s="24">
        <f t="shared" si="10"/>
        <v>3801.1</v>
      </c>
      <c r="AI23" s="24">
        <f t="shared" si="0"/>
        <v>3801.1</v>
      </c>
      <c r="AJ23" s="15"/>
      <c r="AK23" s="15"/>
      <c r="AL23" s="15"/>
      <c r="AM23" s="15"/>
    </row>
    <row r="24" spans="1:39">
      <c r="A24" s="12" t="s">
        <v>61</v>
      </c>
      <c r="B24" s="11">
        <v>2136</v>
      </c>
      <c r="C24" s="12">
        <v>2089</v>
      </c>
      <c r="D24" s="11">
        <v>268</v>
      </c>
      <c r="E24" s="23">
        <v>12.54681647940075</v>
      </c>
      <c r="F24" s="12">
        <v>4980</v>
      </c>
      <c r="G24" s="17">
        <v>4980</v>
      </c>
      <c r="H24" s="17">
        <f t="shared" si="1"/>
        <v>9960</v>
      </c>
      <c r="I24" s="17">
        <v>3000</v>
      </c>
      <c r="J24" s="17">
        <f t="shared" si="2"/>
        <v>-6960</v>
      </c>
      <c r="K24" s="10">
        <v>0</v>
      </c>
      <c r="L24" s="10">
        <v>0</v>
      </c>
      <c r="M24" s="10">
        <v>0</v>
      </c>
      <c r="N24" s="10">
        <v>0</v>
      </c>
      <c r="O24" s="12">
        <v>0</v>
      </c>
      <c r="P24" s="18">
        <v>0</v>
      </c>
      <c r="Q24" s="18">
        <f t="shared" si="3"/>
        <v>0</v>
      </c>
      <c r="R24" s="17">
        <v>0</v>
      </c>
      <c r="S24" s="18">
        <f t="shared" si="5"/>
        <v>0</v>
      </c>
      <c r="T24" s="12">
        <v>0</v>
      </c>
      <c r="U24" s="12">
        <v>0</v>
      </c>
      <c r="V24" s="19">
        <v>0</v>
      </c>
      <c r="W24" s="19">
        <f t="shared" si="6"/>
        <v>0</v>
      </c>
      <c r="X24" s="19"/>
      <c r="Y24" s="19">
        <f>-W24</f>
        <v>0</v>
      </c>
      <c r="Z24" s="12"/>
      <c r="AA24" s="21"/>
      <c r="AB24" s="18">
        <f t="shared" si="7"/>
        <v>0</v>
      </c>
      <c r="AC24" s="100">
        <f t="shared" si="8"/>
        <v>0</v>
      </c>
      <c r="AD24" s="108">
        <f t="shared" si="9"/>
        <v>-6960</v>
      </c>
      <c r="AE24" s="103"/>
      <c r="AF24" s="17"/>
      <c r="AG24" s="17"/>
      <c r="AH24" s="24">
        <f t="shared" si="10"/>
        <v>4980</v>
      </c>
      <c r="AI24" s="24">
        <f t="shared" si="0"/>
        <v>4980</v>
      </c>
      <c r="AJ24" s="15"/>
      <c r="AK24" s="15"/>
      <c r="AL24" s="15"/>
      <c r="AM24" s="15"/>
    </row>
    <row r="25" spans="1:39">
      <c r="A25" s="12" t="s">
        <v>62</v>
      </c>
      <c r="B25" s="17">
        <v>408</v>
      </c>
      <c r="C25" s="12">
        <v>430</v>
      </c>
      <c r="D25" s="17">
        <v>339</v>
      </c>
      <c r="E25" s="18">
        <v>83.088235294117652</v>
      </c>
      <c r="F25" s="24">
        <v>4980</v>
      </c>
      <c r="G25" s="17">
        <v>4980</v>
      </c>
      <c r="H25" s="17">
        <f t="shared" si="1"/>
        <v>9960</v>
      </c>
      <c r="I25" s="17">
        <v>3000</v>
      </c>
      <c r="J25" s="17">
        <f t="shared" si="2"/>
        <v>-6960</v>
      </c>
      <c r="K25" s="24">
        <v>1869</v>
      </c>
      <c r="L25" s="24">
        <v>24297</v>
      </c>
      <c r="M25" s="24">
        <v>163</v>
      </c>
      <c r="N25" s="24">
        <v>505.3</v>
      </c>
      <c r="O25" s="24">
        <v>24802.3</v>
      </c>
      <c r="P25" s="18">
        <v>26634.1</v>
      </c>
      <c r="Q25" s="18">
        <f t="shared" si="3"/>
        <v>51436.399999999994</v>
      </c>
      <c r="R25" s="17">
        <f t="shared" si="4"/>
        <v>72207</v>
      </c>
      <c r="S25" s="18">
        <f t="shared" si="5"/>
        <v>20770.600000000006</v>
      </c>
      <c r="T25" s="24">
        <v>175</v>
      </c>
      <c r="U25" s="24">
        <v>5775</v>
      </c>
      <c r="V25" s="19">
        <v>5676</v>
      </c>
      <c r="W25" s="19">
        <f t="shared" si="6"/>
        <v>11451</v>
      </c>
      <c r="X25" s="19"/>
      <c r="Y25" s="19">
        <f>-W25*Y4</f>
        <v>11451</v>
      </c>
      <c r="Z25" s="24"/>
      <c r="AA25" s="21"/>
      <c r="AB25" s="18">
        <f t="shared" si="7"/>
        <v>0</v>
      </c>
      <c r="AC25" s="100">
        <f t="shared" si="8"/>
        <v>0</v>
      </c>
      <c r="AD25" s="109">
        <f t="shared" si="9"/>
        <v>25261.600000000006</v>
      </c>
      <c r="AE25" s="103">
        <f>E25</f>
        <v>83.088235294117652</v>
      </c>
      <c r="AF25" s="17"/>
      <c r="AG25" s="17"/>
      <c r="AH25" s="24">
        <f t="shared" si="10"/>
        <v>29782.3</v>
      </c>
      <c r="AI25" s="24">
        <f t="shared" si="0"/>
        <v>35557.300000000003</v>
      </c>
      <c r="AJ25" s="15"/>
      <c r="AK25" s="15"/>
      <c r="AL25" s="15"/>
      <c r="AM25" s="15"/>
    </row>
    <row r="26" spans="1:39">
      <c r="A26" s="12" t="s">
        <v>64</v>
      </c>
      <c r="B26" s="17"/>
      <c r="C26" s="12">
        <v>873</v>
      </c>
      <c r="D26" s="17">
        <v>61</v>
      </c>
      <c r="E26" s="18">
        <f>D26/C26*100</f>
        <v>6.9873997709049256</v>
      </c>
      <c r="F26" s="24">
        <v>4980</v>
      </c>
      <c r="G26" s="17">
        <v>4980</v>
      </c>
      <c r="H26" s="17">
        <f t="shared" si="1"/>
        <v>9960</v>
      </c>
      <c r="I26" s="17">
        <v>3000</v>
      </c>
      <c r="J26" s="17">
        <f t="shared" si="2"/>
        <v>-6960</v>
      </c>
      <c r="K26" s="24"/>
      <c r="L26" s="24"/>
      <c r="M26" s="24"/>
      <c r="N26" s="24"/>
      <c r="O26" s="18">
        <v>4267.8</v>
      </c>
      <c r="P26" s="18">
        <v>4267.8</v>
      </c>
      <c r="Q26" s="18">
        <f t="shared" si="3"/>
        <v>8535.6</v>
      </c>
      <c r="R26" s="17">
        <f t="shared" si="4"/>
        <v>12993</v>
      </c>
      <c r="S26" s="18">
        <f t="shared" si="5"/>
        <v>4457.3999999999996</v>
      </c>
      <c r="T26" s="24"/>
      <c r="U26" s="24"/>
      <c r="V26" s="19">
        <v>0</v>
      </c>
      <c r="W26" s="19">
        <f t="shared" si="6"/>
        <v>0</v>
      </c>
      <c r="X26" s="19"/>
      <c r="Y26" s="19">
        <f>-W26</f>
        <v>0</v>
      </c>
      <c r="Z26" s="24"/>
      <c r="AA26" s="21">
        <v>0</v>
      </c>
      <c r="AB26" s="18">
        <f t="shared" si="7"/>
        <v>0</v>
      </c>
      <c r="AC26" s="100">
        <f t="shared" si="8"/>
        <v>0</v>
      </c>
      <c r="AD26" s="108">
        <f t="shared" si="9"/>
        <v>-2502.6000000000004</v>
      </c>
      <c r="AE26" s="103"/>
      <c r="AF26" s="17"/>
      <c r="AG26" s="17"/>
      <c r="AH26" s="24">
        <f t="shared" si="10"/>
        <v>9247.7999999999993</v>
      </c>
      <c r="AI26" s="24">
        <f t="shared" si="0"/>
        <v>9247.7999999999993</v>
      </c>
      <c r="AJ26" s="15"/>
      <c r="AK26" s="15"/>
      <c r="AL26" s="15"/>
      <c r="AM26" s="15"/>
    </row>
    <row r="27" spans="1:39" ht="30">
      <c r="A27" s="60" t="s">
        <v>65</v>
      </c>
      <c r="B27" s="17"/>
      <c r="C27" s="12"/>
      <c r="D27" s="17"/>
      <c r="E27" s="18"/>
      <c r="F27" s="24"/>
      <c r="G27" s="17"/>
      <c r="H27" s="17">
        <f t="shared" si="1"/>
        <v>0</v>
      </c>
      <c r="I27" s="17"/>
      <c r="J27" s="17">
        <f t="shared" si="2"/>
        <v>0</v>
      </c>
      <c r="K27" s="24"/>
      <c r="L27" s="24"/>
      <c r="M27" s="24"/>
      <c r="N27" s="24"/>
      <c r="O27" s="24"/>
      <c r="P27" s="18"/>
      <c r="Q27" s="18">
        <f t="shared" si="3"/>
        <v>0</v>
      </c>
      <c r="R27" s="17">
        <f t="shared" si="4"/>
        <v>0</v>
      </c>
      <c r="S27" s="18">
        <f t="shared" si="5"/>
        <v>0</v>
      </c>
      <c r="T27" s="24"/>
      <c r="U27" s="24"/>
      <c r="V27" s="19"/>
      <c r="W27" s="19">
        <f t="shared" si="6"/>
        <v>0</v>
      </c>
      <c r="X27" s="19"/>
      <c r="Y27" s="19">
        <f>-W27</f>
        <v>0</v>
      </c>
      <c r="Z27" s="24"/>
      <c r="AA27" s="21"/>
      <c r="AB27" s="18">
        <f t="shared" si="7"/>
        <v>0</v>
      </c>
      <c r="AC27" s="100">
        <f t="shared" si="8"/>
        <v>0</v>
      </c>
      <c r="AD27" s="109">
        <f t="shared" si="9"/>
        <v>0</v>
      </c>
      <c r="AE27" s="103"/>
      <c r="AF27" s="17"/>
      <c r="AG27" s="17"/>
      <c r="AH27" s="24">
        <f t="shared" si="10"/>
        <v>0</v>
      </c>
      <c r="AI27" s="24">
        <f t="shared" si="0"/>
        <v>0</v>
      </c>
      <c r="AJ27" s="15"/>
      <c r="AK27" s="15"/>
      <c r="AL27" s="15"/>
      <c r="AM27" s="15"/>
    </row>
    <row r="28" spans="1:39">
      <c r="A28" s="12" t="s">
        <v>66</v>
      </c>
      <c r="B28" s="17">
        <v>382</v>
      </c>
      <c r="C28" s="12">
        <v>385</v>
      </c>
      <c r="D28" s="17">
        <v>359</v>
      </c>
      <c r="E28" s="18">
        <v>93.979057591623032</v>
      </c>
      <c r="F28" s="24">
        <v>4980</v>
      </c>
      <c r="G28" s="17">
        <v>4980</v>
      </c>
      <c r="H28" s="17">
        <f t="shared" si="1"/>
        <v>9960</v>
      </c>
      <c r="I28" s="17">
        <v>3000</v>
      </c>
      <c r="J28" s="17">
        <f t="shared" si="2"/>
        <v>-6960</v>
      </c>
      <c r="K28" s="24">
        <v>2094</v>
      </c>
      <c r="L28" s="24">
        <v>27222</v>
      </c>
      <c r="M28" s="24">
        <v>60</v>
      </c>
      <c r="N28" s="24">
        <v>186</v>
      </c>
      <c r="O28" s="24">
        <v>27408</v>
      </c>
      <c r="P28" s="18">
        <v>26902.799999999999</v>
      </c>
      <c r="Q28" s="18">
        <f t="shared" si="3"/>
        <v>54310.8</v>
      </c>
      <c r="R28" s="17">
        <f t="shared" si="4"/>
        <v>76467</v>
      </c>
      <c r="S28" s="18">
        <f t="shared" si="5"/>
        <v>22156.199999999997</v>
      </c>
      <c r="T28" s="24">
        <v>1786</v>
      </c>
      <c r="U28" s="24">
        <v>58938</v>
      </c>
      <c r="V28" s="19">
        <v>54912</v>
      </c>
      <c r="W28" s="19">
        <f t="shared" si="6"/>
        <v>113850</v>
      </c>
      <c r="X28" s="28">
        <f>W28/33</f>
        <v>3450</v>
      </c>
      <c r="Y28" s="19">
        <f>-W28*Y4</f>
        <v>113850</v>
      </c>
      <c r="Z28" s="24"/>
      <c r="AA28" s="21"/>
      <c r="AB28" s="18">
        <f t="shared" si="7"/>
        <v>0</v>
      </c>
      <c r="AC28" s="100">
        <f t="shared" si="8"/>
        <v>0</v>
      </c>
      <c r="AD28" s="109">
        <f>J28+S28+Y28+AC28+AG28</f>
        <v>129046.2</v>
      </c>
      <c r="AE28" s="103">
        <f>E28</f>
        <v>93.979057591623032</v>
      </c>
      <c r="AF28" s="17">
        <f>X28*AE28/100</f>
        <v>3242.2774869109944</v>
      </c>
      <c r="AG28" s="17">
        <f>AF28*AG4/AF60</f>
        <v>0</v>
      </c>
      <c r="AH28" s="24">
        <f t="shared" si="10"/>
        <v>32388</v>
      </c>
      <c r="AI28" s="24">
        <f t="shared" si="0"/>
        <v>91326</v>
      </c>
      <c r="AJ28" s="15"/>
      <c r="AK28" s="15"/>
      <c r="AL28" s="15"/>
      <c r="AM28" s="15"/>
    </row>
    <row r="29" spans="1:39" ht="30">
      <c r="A29" s="60" t="s">
        <v>179</v>
      </c>
      <c r="B29" s="17"/>
      <c r="C29" s="12"/>
      <c r="D29" s="17"/>
      <c r="E29" s="18"/>
      <c r="F29" s="24"/>
      <c r="G29" s="17"/>
      <c r="H29" s="17">
        <f t="shared" si="1"/>
        <v>0</v>
      </c>
      <c r="I29" s="17"/>
      <c r="J29" s="17"/>
      <c r="K29" s="24"/>
      <c r="L29" s="24"/>
      <c r="M29" s="24"/>
      <c r="N29" s="24"/>
      <c r="O29" s="24"/>
      <c r="P29" s="18"/>
      <c r="Q29" s="18">
        <f t="shared" si="3"/>
        <v>0</v>
      </c>
      <c r="R29" s="17">
        <f t="shared" si="4"/>
        <v>0</v>
      </c>
      <c r="S29" s="18">
        <f t="shared" si="5"/>
        <v>0</v>
      </c>
      <c r="T29" s="24"/>
      <c r="U29" s="24"/>
      <c r="V29" s="19"/>
      <c r="W29" s="19">
        <f t="shared" si="6"/>
        <v>0</v>
      </c>
      <c r="X29" s="28"/>
      <c r="Y29" s="19">
        <f>-W29</f>
        <v>0</v>
      </c>
      <c r="Z29" s="24"/>
      <c r="AA29" s="21"/>
      <c r="AB29" s="18">
        <f t="shared" si="7"/>
        <v>0</v>
      </c>
      <c r="AC29" s="100">
        <f t="shared" si="8"/>
        <v>0</v>
      </c>
      <c r="AD29" s="109">
        <f t="shared" si="9"/>
        <v>0</v>
      </c>
      <c r="AE29" s="103">
        <f>E29</f>
        <v>0</v>
      </c>
      <c r="AF29" s="17">
        <f t="shared" ref="AF29" si="14">X29*AE29</f>
        <v>0</v>
      </c>
      <c r="AG29" s="17"/>
      <c r="AH29" s="24">
        <f t="shared" si="10"/>
        <v>0</v>
      </c>
      <c r="AI29" s="24">
        <f t="shared" si="0"/>
        <v>0</v>
      </c>
      <c r="AJ29" s="15"/>
      <c r="AK29" s="15"/>
      <c r="AL29" s="15"/>
      <c r="AM29" s="15"/>
    </row>
    <row r="30" spans="1:39">
      <c r="A30" s="12" t="s">
        <v>68</v>
      </c>
      <c r="B30" s="17">
        <v>176</v>
      </c>
      <c r="C30" s="10">
        <v>191</v>
      </c>
      <c r="D30" s="17">
        <v>146</v>
      </c>
      <c r="E30" s="18">
        <v>82.954545454545453</v>
      </c>
      <c r="F30" s="24">
        <v>2489.5</v>
      </c>
      <c r="G30" s="17">
        <v>2490</v>
      </c>
      <c r="H30" s="17">
        <f t="shared" si="1"/>
        <v>4979.5</v>
      </c>
      <c r="I30" s="17">
        <v>3000</v>
      </c>
      <c r="J30" s="17">
        <f t="shared" si="2"/>
        <v>-1979.5</v>
      </c>
      <c r="K30" s="24">
        <v>870</v>
      </c>
      <c r="L30" s="24">
        <v>11310</v>
      </c>
      <c r="M30" s="24">
        <v>6</v>
      </c>
      <c r="N30" s="24">
        <v>18.600000000000001</v>
      </c>
      <c r="O30" s="24">
        <v>11328.6</v>
      </c>
      <c r="P30" s="18">
        <v>9973</v>
      </c>
      <c r="Q30" s="18">
        <f t="shared" si="3"/>
        <v>21301.599999999999</v>
      </c>
      <c r="R30" s="17">
        <f t="shared" si="4"/>
        <v>31098</v>
      </c>
      <c r="S30" s="18">
        <f t="shared" si="5"/>
        <v>9796.4000000000015</v>
      </c>
      <c r="T30" s="24">
        <v>446</v>
      </c>
      <c r="U30" s="24">
        <v>14718</v>
      </c>
      <c r="V30" s="12">
        <v>17836.5</v>
      </c>
      <c r="W30" s="19">
        <f t="shared" si="6"/>
        <v>32554.5</v>
      </c>
      <c r="X30" s="20">
        <f>W30/33</f>
        <v>986.5</v>
      </c>
      <c r="Y30" s="19">
        <f>-W30*Y4</f>
        <v>32554.5</v>
      </c>
      <c r="Z30" s="24"/>
      <c r="AA30" s="21"/>
      <c r="AB30" s="18">
        <f t="shared" si="7"/>
        <v>0</v>
      </c>
      <c r="AC30" s="100">
        <f t="shared" si="8"/>
        <v>0</v>
      </c>
      <c r="AD30" s="108">
        <f>J30+S30+Y30+AC30+AG30</f>
        <v>40371.4</v>
      </c>
      <c r="AE30" s="103">
        <f>E30</f>
        <v>82.954545454545453</v>
      </c>
      <c r="AF30" s="17">
        <f>X30*AE30/100</f>
        <v>818.34659090909088</v>
      </c>
      <c r="AG30" s="17">
        <f>AF30*AG4/AF60</f>
        <v>0</v>
      </c>
      <c r="AH30" s="24">
        <f t="shared" si="10"/>
        <v>13818.1</v>
      </c>
      <c r="AI30" s="24">
        <f t="shared" si="0"/>
        <v>28536.1</v>
      </c>
      <c r="AJ30" s="15"/>
      <c r="AK30" s="15"/>
      <c r="AL30" s="35"/>
      <c r="AM30" s="15"/>
    </row>
    <row r="31" spans="1:39">
      <c r="A31" s="12" t="s">
        <v>69</v>
      </c>
      <c r="B31" s="17">
        <v>184</v>
      </c>
      <c r="C31" s="12">
        <v>173</v>
      </c>
      <c r="D31" s="17">
        <v>20</v>
      </c>
      <c r="E31" s="18">
        <v>10.869565217391305</v>
      </c>
      <c r="F31" s="24">
        <v>2489.5</v>
      </c>
      <c r="G31" s="17">
        <v>2490</v>
      </c>
      <c r="H31" s="17">
        <f t="shared" si="1"/>
        <v>4979.5</v>
      </c>
      <c r="I31" s="17">
        <v>3000</v>
      </c>
      <c r="J31" s="17">
        <f t="shared" si="2"/>
        <v>-1979.5</v>
      </c>
      <c r="K31" s="24">
        <v>114</v>
      </c>
      <c r="L31" s="24">
        <v>1482</v>
      </c>
      <c r="M31" s="24">
        <v>6</v>
      </c>
      <c r="N31" s="24">
        <v>18.600000000000001</v>
      </c>
      <c r="O31" s="24">
        <v>1500.6</v>
      </c>
      <c r="P31" s="18">
        <v>873</v>
      </c>
      <c r="Q31" s="18">
        <f t="shared" si="3"/>
        <v>2373.6</v>
      </c>
      <c r="R31" s="17">
        <f t="shared" si="4"/>
        <v>4260</v>
      </c>
      <c r="S31" s="18">
        <f t="shared" si="5"/>
        <v>1886.4</v>
      </c>
      <c r="T31" s="24">
        <v>48</v>
      </c>
      <c r="U31" s="24">
        <v>1584</v>
      </c>
      <c r="V31" s="19">
        <v>0</v>
      </c>
      <c r="W31" s="19">
        <f t="shared" si="6"/>
        <v>1584</v>
      </c>
      <c r="X31" s="19"/>
      <c r="Y31" s="19">
        <f>-W31*Y4</f>
        <v>1584</v>
      </c>
      <c r="Z31" s="24">
        <f>[2]Svømmetimetilskud!J11</f>
        <v>620.86349478739248</v>
      </c>
      <c r="AA31" s="32">
        <v>650.34284974051502</v>
      </c>
      <c r="AB31" s="18">
        <f t="shared" si="7"/>
        <v>1271.2063445279075</v>
      </c>
      <c r="AC31" s="100">
        <f>AB31</f>
        <v>1271.2063445279075</v>
      </c>
      <c r="AD31" s="108">
        <f t="shared" si="9"/>
        <v>2762.1063445279078</v>
      </c>
      <c r="AE31" s="103">
        <f>E31</f>
        <v>10.869565217391305</v>
      </c>
      <c r="AF31" s="17"/>
      <c r="AG31" s="17"/>
      <c r="AH31" s="24">
        <f t="shared" si="10"/>
        <v>3990.1</v>
      </c>
      <c r="AI31" s="24">
        <f t="shared" si="0"/>
        <v>5574.1</v>
      </c>
      <c r="AJ31" s="15"/>
      <c r="AK31" s="15"/>
      <c r="AL31" s="15"/>
      <c r="AM31" s="15"/>
    </row>
    <row r="32" spans="1:39">
      <c r="A32" s="12" t="s">
        <v>70</v>
      </c>
      <c r="B32" s="17">
        <v>34</v>
      </c>
      <c r="C32" s="12">
        <v>33</v>
      </c>
      <c r="D32" s="17">
        <v>18</v>
      </c>
      <c r="E32" s="18">
        <v>52.941176470588239</v>
      </c>
      <c r="F32" s="24">
        <v>2489.5</v>
      </c>
      <c r="G32" s="17">
        <v>2490</v>
      </c>
      <c r="H32" s="17">
        <f t="shared" si="1"/>
        <v>4979.5</v>
      </c>
      <c r="I32" s="17">
        <v>3000</v>
      </c>
      <c r="J32" s="17">
        <f t="shared" si="2"/>
        <v>-1979.5</v>
      </c>
      <c r="K32" s="24">
        <v>104</v>
      </c>
      <c r="L32" s="24">
        <v>1352</v>
      </c>
      <c r="M32" s="24">
        <v>3</v>
      </c>
      <c r="N32" s="24">
        <v>9.3000000000000007</v>
      </c>
      <c r="O32" s="24">
        <v>1361.3</v>
      </c>
      <c r="P32" s="18">
        <v>936</v>
      </c>
      <c r="Q32" s="18">
        <f t="shared" si="3"/>
        <v>2297.3000000000002</v>
      </c>
      <c r="R32" s="17">
        <f t="shared" si="4"/>
        <v>3834</v>
      </c>
      <c r="S32" s="18">
        <f t="shared" si="5"/>
        <v>1536.6999999999998</v>
      </c>
      <c r="T32" s="24">
        <v>0</v>
      </c>
      <c r="U32" s="24">
        <v>0</v>
      </c>
      <c r="V32" s="19">
        <v>0</v>
      </c>
      <c r="W32" s="19">
        <f t="shared" si="6"/>
        <v>0</v>
      </c>
      <c r="X32" s="19"/>
      <c r="Y32" s="19">
        <f>-W32</f>
        <v>0</v>
      </c>
      <c r="Z32" s="24"/>
      <c r="AA32" s="21"/>
      <c r="AB32" s="18">
        <f t="shared" si="7"/>
        <v>0</v>
      </c>
      <c r="AC32" s="100">
        <f t="shared" si="8"/>
        <v>0</v>
      </c>
      <c r="AD32" s="109">
        <f t="shared" si="9"/>
        <v>-442.80000000000018</v>
      </c>
      <c r="AE32" s="103"/>
      <c r="AF32" s="17"/>
      <c r="AG32" s="17"/>
      <c r="AH32" s="24">
        <f t="shared" si="10"/>
        <v>3850.8</v>
      </c>
      <c r="AI32" s="24">
        <f t="shared" si="0"/>
        <v>3850.8</v>
      </c>
      <c r="AJ32" s="15"/>
      <c r="AK32" s="15"/>
      <c r="AL32" s="15"/>
      <c r="AM32" s="15"/>
    </row>
    <row r="33" spans="1:39">
      <c r="A33" s="12" t="s">
        <v>71</v>
      </c>
      <c r="B33" s="17"/>
      <c r="C33" s="12"/>
      <c r="D33" s="17"/>
      <c r="E33" s="18"/>
      <c r="F33" s="24"/>
      <c r="G33" s="17"/>
      <c r="H33" s="17">
        <f t="shared" si="1"/>
        <v>0</v>
      </c>
      <c r="I33" s="17">
        <v>3000</v>
      </c>
      <c r="J33" s="17">
        <f t="shared" si="2"/>
        <v>3000</v>
      </c>
      <c r="K33" s="24"/>
      <c r="L33" s="24"/>
      <c r="M33" s="24"/>
      <c r="N33" s="24"/>
      <c r="O33" s="24"/>
      <c r="P33" s="18"/>
      <c r="Q33" s="18">
        <f t="shared" si="3"/>
        <v>0</v>
      </c>
      <c r="R33" s="17">
        <f t="shared" si="4"/>
        <v>0</v>
      </c>
      <c r="S33" s="18">
        <f t="shared" si="5"/>
        <v>0</v>
      </c>
      <c r="T33" s="24"/>
      <c r="U33" s="24"/>
      <c r="V33" s="19"/>
      <c r="W33" s="19">
        <f t="shared" si="6"/>
        <v>0</v>
      </c>
      <c r="X33" s="19"/>
      <c r="Y33" s="19">
        <f>-W33</f>
        <v>0</v>
      </c>
      <c r="Z33" s="24"/>
      <c r="AA33" s="21"/>
      <c r="AB33" s="18">
        <f t="shared" si="7"/>
        <v>0</v>
      </c>
      <c r="AC33" s="100">
        <f t="shared" si="8"/>
        <v>0</v>
      </c>
      <c r="AD33" s="109">
        <f t="shared" si="9"/>
        <v>3000</v>
      </c>
      <c r="AE33" s="103"/>
      <c r="AF33" s="17"/>
      <c r="AG33" s="17"/>
      <c r="AH33" s="24">
        <f t="shared" si="10"/>
        <v>0</v>
      </c>
      <c r="AI33" s="24">
        <f t="shared" si="0"/>
        <v>0</v>
      </c>
      <c r="AJ33" s="15"/>
      <c r="AK33" s="15"/>
      <c r="AL33" s="15"/>
      <c r="AM33" s="15"/>
    </row>
    <row r="34" spans="1:39">
      <c r="A34" s="12" t="s">
        <v>72</v>
      </c>
      <c r="B34" s="17"/>
      <c r="C34" s="12"/>
      <c r="D34" s="17"/>
      <c r="E34" s="18"/>
      <c r="F34" s="24">
        <v>2489.5</v>
      </c>
      <c r="G34" s="17"/>
      <c r="H34" s="17">
        <f t="shared" si="1"/>
        <v>2489.5</v>
      </c>
      <c r="I34" s="17">
        <v>3000</v>
      </c>
      <c r="J34" s="17">
        <f t="shared" si="2"/>
        <v>510.5</v>
      </c>
      <c r="K34" s="24"/>
      <c r="L34" s="24"/>
      <c r="M34" s="24"/>
      <c r="N34" s="24"/>
      <c r="O34" s="24"/>
      <c r="P34" s="18"/>
      <c r="Q34" s="18">
        <f t="shared" si="3"/>
        <v>0</v>
      </c>
      <c r="R34" s="17">
        <f t="shared" si="4"/>
        <v>0</v>
      </c>
      <c r="S34" s="18">
        <f t="shared" si="5"/>
        <v>0</v>
      </c>
      <c r="T34" s="24"/>
      <c r="U34" s="24"/>
      <c r="V34" s="19"/>
      <c r="W34" s="19">
        <f t="shared" si="6"/>
        <v>0</v>
      </c>
      <c r="X34" s="19"/>
      <c r="Y34" s="19">
        <f>-W34</f>
        <v>0</v>
      </c>
      <c r="Z34" s="24"/>
      <c r="AA34" s="21"/>
      <c r="AB34" s="18">
        <f t="shared" si="7"/>
        <v>0</v>
      </c>
      <c r="AC34" s="100">
        <f t="shared" si="8"/>
        <v>0</v>
      </c>
      <c r="AD34" s="109">
        <f t="shared" si="9"/>
        <v>510.5</v>
      </c>
      <c r="AE34" s="103"/>
      <c r="AF34" s="17"/>
      <c r="AG34" s="17"/>
      <c r="AH34" s="24"/>
      <c r="AI34" s="24">
        <f t="shared" si="0"/>
        <v>0</v>
      </c>
      <c r="AJ34" s="15"/>
      <c r="AK34" s="15"/>
      <c r="AL34" s="15"/>
      <c r="AM34" s="15"/>
    </row>
    <row r="35" spans="1:39">
      <c r="A35" s="12" t="s">
        <v>73</v>
      </c>
      <c r="B35" s="17">
        <v>121</v>
      </c>
      <c r="C35" s="12"/>
      <c r="D35" s="17">
        <v>10</v>
      </c>
      <c r="E35" s="18">
        <v>8.2644628099173563</v>
      </c>
      <c r="F35" s="24">
        <v>2489.5</v>
      </c>
      <c r="G35" s="17"/>
      <c r="H35" s="17">
        <f t="shared" si="1"/>
        <v>2489.5</v>
      </c>
      <c r="I35" s="17">
        <v>3000</v>
      </c>
      <c r="J35" s="17">
        <f t="shared" si="2"/>
        <v>510.5</v>
      </c>
      <c r="K35" s="24">
        <v>42</v>
      </c>
      <c r="L35" s="24">
        <v>546</v>
      </c>
      <c r="M35" s="24">
        <v>18</v>
      </c>
      <c r="N35" s="24">
        <v>55.800000000000004</v>
      </c>
      <c r="O35" s="24">
        <v>601.79999999999995</v>
      </c>
      <c r="P35" s="18"/>
      <c r="Q35" s="18">
        <f t="shared" si="3"/>
        <v>601.79999999999995</v>
      </c>
      <c r="R35" s="17">
        <f t="shared" si="4"/>
        <v>2130</v>
      </c>
      <c r="S35" s="18">
        <f t="shared" si="5"/>
        <v>1528.2</v>
      </c>
      <c r="T35" s="24">
        <v>15</v>
      </c>
      <c r="U35" s="24">
        <v>495</v>
      </c>
      <c r="V35" s="19"/>
      <c r="W35" s="19">
        <f t="shared" si="6"/>
        <v>495</v>
      </c>
      <c r="X35" s="19"/>
      <c r="Y35" s="19">
        <f>-W35*Y4</f>
        <v>495</v>
      </c>
      <c r="Z35" s="24">
        <f>[2]Svømmetimetilskud!J13</f>
        <v>240.03127127233552</v>
      </c>
      <c r="AA35" s="36"/>
      <c r="AB35" s="18">
        <f t="shared" si="7"/>
        <v>240.03127127233552</v>
      </c>
      <c r="AC35" s="100">
        <f>AB35</f>
        <v>240.03127127233552</v>
      </c>
      <c r="AD35" s="109">
        <f t="shared" si="9"/>
        <v>2773.7312712723351</v>
      </c>
      <c r="AE35" s="103">
        <f>E35</f>
        <v>8.2644628099173563</v>
      </c>
      <c r="AF35" s="17"/>
      <c r="AG35" s="17"/>
      <c r="AH35" s="24">
        <f t="shared" si="10"/>
        <v>3091.3</v>
      </c>
      <c r="AI35" s="24">
        <f t="shared" si="0"/>
        <v>3586.3</v>
      </c>
      <c r="AJ35" s="15"/>
      <c r="AK35" s="15"/>
      <c r="AL35" s="15"/>
      <c r="AM35" s="15"/>
    </row>
    <row r="36" spans="1:39">
      <c r="A36" s="12" t="s">
        <v>74</v>
      </c>
      <c r="B36" s="11">
        <v>245</v>
      </c>
      <c r="C36" s="10">
        <v>215</v>
      </c>
      <c r="D36" s="11">
        <v>41</v>
      </c>
      <c r="E36" s="23">
        <v>16.73469387755102</v>
      </c>
      <c r="F36" s="12">
        <v>2489.5</v>
      </c>
      <c r="G36" s="17">
        <v>2490</v>
      </c>
      <c r="H36" s="17">
        <f t="shared" si="1"/>
        <v>4979.5</v>
      </c>
      <c r="I36" s="17">
        <v>3000</v>
      </c>
      <c r="J36" s="17">
        <f t="shared" si="2"/>
        <v>-1979.5</v>
      </c>
      <c r="K36" s="12">
        <v>246</v>
      </c>
      <c r="L36" s="12">
        <v>3198</v>
      </c>
      <c r="M36" s="12">
        <v>0</v>
      </c>
      <c r="N36" s="12">
        <v>0</v>
      </c>
      <c r="O36" s="12">
        <v>3198</v>
      </c>
      <c r="P36" s="18">
        <v>2964</v>
      </c>
      <c r="Q36" s="18">
        <f t="shared" si="3"/>
        <v>6162</v>
      </c>
      <c r="R36" s="17">
        <f t="shared" si="4"/>
        <v>8733</v>
      </c>
      <c r="S36" s="18">
        <f t="shared" si="5"/>
        <v>2571</v>
      </c>
      <c r="T36" s="12">
        <v>0</v>
      </c>
      <c r="U36" s="12">
        <v>0</v>
      </c>
      <c r="V36" s="12">
        <v>0</v>
      </c>
      <c r="W36" s="19">
        <f t="shared" si="6"/>
        <v>0</v>
      </c>
      <c r="X36" s="19"/>
      <c r="Y36" s="19">
        <f>-W36</f>
        <v>0</v>
      </c>
      <c r="Z36" s="12"/>
      <c r="AA36" s="21"/>
      <c r="AB36" s="18">
        <f t="shared" si="7"/>
        <v>0</v>
      </c>
      <c r="AC36" s="100">
        <f t="shared" si="8"/>
        <v>0</v>
      </c>
      <c r="AD36" s="109">
        <f t="shared" si="9"/>
        <v>591.5</v>
      </c>
      <c r="AE36" s="103"/>
      <c r="AF36" s="17"/>
      <c r="AG36" s="17"/>
      <c r="AH36" s="24">
        <f t="shared" si="10"/>
        <v>5687.5</v>
      </c>
      <c r="AI36" s="24">
        <f t="shared" si="0"/>
        <v>5687.5</v>
      </c>
      <c r="AJ36" s="15"/>
      <c r="AK36" s="15"/>
      <c r="AL36" s="15"/>
      <c r="AM36" s="15"/>
    </row>
    <row r="37" spans="1:39">
      <c r="A37" s="12" t="s">
        <v>75</v>
      </c>
      <c r="B37" s="17">
        <v>60</v>
      </c>
      <c r="C37" s="12">
        <v>57</v>
      </c>
      <c r="D37" s="17">
        <v>17</v>
      </c>
      <c r="E37" s="18">
        <v>28.333333333333332</v>
      </c>
      <c r="F37" s="24">
        <v>2489.5</v>
      </c>
      <c r="G37" s="17">
        <v>2490</v>
      </c>
      <c r="H37" s="17">
        <f t="shared" si="1"/>
        <v>4979.5</v>
      </c>
      <c r="I37" s="17">
        <v>3000</v>
      </c>
      <c r="J37" s="17">
        <f t="shared" si="2"/>
        <v>-1979.5</v>
      </c>
      <c r="K37" s="24">
        <v>90</v>
      </c>
      <c r="L37" s="24">
        <v>1170</v>
      </c>
      <c r="M37" s="24">
        <v>0</v>
      </c>
      <c r="N37" s="24">
        <v>0</v>
      </c>
      <c r="O37" s="24">
        <v>1170</v>
      </c>
      <c r="P37" s="18">
        <v>798.6</v>
      </c>
      <c r="Q37" s="18">
        <f t="shared" si="3"/>
        <v>1968.6</v>
      </c>
      <c r="R37" s="17">
        <f t="shared" si="4"/>
        <v>3621</v>
      </c>
      <c r="S37" s="18">
        <f t="shared" si="5"/>
        <v>1652.4</v>
      </c>
      <c r="T37" s="24">
        <v>0</v>
      </c>
      <c r="U37" s="24">
        <v>0</v>
      </c>
      <c r="V37" s="19">
        <v>0</v>
      </c>
      <c r="W37" s="19">
        <f t="shared" si="6"/>
        <v>0</v>
      </c>
      <c r="X37" s="19"/>
      <c r="Y37" s="19">
        <f>-W37</f>
        <v>0</v>
      </c>
      <c r="Z37" s="24"/>
      <c r="AA37" s="21"/>
      <c r="AB37" s="18">
        <f t="shared" si="7"/>
        <v>0</v>
      </c>
      <c r="AC37" s="100">
        <f t="shared" si="8"/>
        <v>0</v>
      </c>
      <c r="AD37" s="109">
        <f t="shared" si="9"/>
        <v>-327.09999999999991</v>
      </c>
      <c r="AE37" s="103"/>
      <c r="AF37" s="17"/>
      <c r="AG37" s="17"/>
      <c r="AH37" s="24">
        <f t="shared" si="10"/>
        <v>3659.5</v>
      </c>
      <c r="AI37" s="24">
        <f t="shared" ref="AI37:AI59" si="15">U37+AH37</f>
        <v>3659.5</v>
      </c>
      <c r="AJ37" s="15"/>
      <c r="AK37" s="15"/>
      <c r="AL37" s="15"/>
      <c r="AM37" s="15"/>
    </row>
    <row r="38" spans="1:39">
      <c r="A38" s="12" t="s">
        <v>76</v>
      </c>
      <c r="B38" s="17">
        <v>100</v>
      </c>
      <c r="C38" s="12">
        <v>92</v>
      </c>
      <c r="D38" s="17">
        <v>53</v>
      </c>
      <c r="E38" s="18">
        <v>53</v>
      </c>
      <c r="F38" s="24">
        <v>2489.5</v>
      </c>
      <c r="G38" s="17">
        <v>2490</v>
      </c>
      <c r="H38" s="17">
        <f t="shared" si="1"/>
        <v>4979.5</v>
      </c>
      <c r="I38" s="17">
        <v>3000</v>
      </c>
      <c r="J38" s="17">
        <f t="shared" si="2"/>
        <v>-1979.5</v>
      </c>
      <c r="K38" s="24">
        <v>223</v>
      </c>
      <c r="L38" s="24">
        <v>2899</v>
      </c>
      <c r="M38" s="24">
        <v>5</v>
      </c>
      <c r="N38" s="24">
        <v>15.5</v>
      </c>
      <c r="O38" s="24">
        <v>2914.5</v>
      </c>
      <c r="P38" s="18">
        <v>2196.4</v>
      </c>
      <c r="Q38" s="18">
        <f t="shared" si="3"/>
        <v>5110.8999999999996</v>
      </c>
      <c r="R38" s="17">
        <f t="shared" si="4"/>
        <v>11289</v>
      </c>
      <c r="S38" s="18">
        <f t="shared" si="5"/>
        <v>6178.1</v>
      </c>
      <c r="T38" s="24">
        <v>47.5</v>
      </c>
      <c r="U38" s="24">
        <v>1567.5</v>
      </c>
      <c r="V38" s="19">
        <v>1485</v>
      </c>
      <c r="W38" s="19">
        <f t="shared" si="6"/>
        <v>3052.5</v>
      </c>
      <c r="X38" s="19"/>
      <c r="Y38" s="19">
        <f>-W38*Y4</f>
        <v>3052.5</v>
      </c>
      <c r="Z38" s="24"/>
      <c r="AA38" s="21">
        <v>0</v>
      </c>
      <c r="AB38" s="18">
        <f t="shared" si="7"/>
        <v>0</v>
      </c>
      <c r="AC38" s="100">
        <f t="shared" si="8"/>
        <v>0</v>
      </c>
      <c r="AD38" s="108">
        <f t="shared" si="9"/>
        <v>7251.1</v>
      </c>
      <c r="AE38" s="103">
        <f>E38</f>
        <v>53</v>
      </c>
      <c r="AF38" s="22"/>
      <c r="AG38" s="22"/>
      <c r="AH38" s="24">
        <f t="shared" si="10"/>
        <v>5404</v>
      </c>
      <c r="AI38" s="24">
        <f t="shared" si="15"/>
        <v>6971.5</v>
      </c>
      <c r="AJ38" s="15"/>
      <c r="AK38" s="15"/>
      <c r="AL38" s="15"/>
      <c r="AM38" s="15"/>
    </row>
    <row r="39" spans="1:39" ht="30">
      <c r="A39" s="60" t="s">
        <v>77</v>
      </c>
      <c r="B39" s="17"/>
      <c r="C39" s="37"/>
      <c r="D39" s="17"/>
      <c r="E39" s="18"/>
      <c r="F39" s="24"/>
      <c r="G39" s="22"/>
      <c r="H39" s="17">
        <f t="shared" si="1"/>
        <v>0</v>
      </c>
      <c r="I39" s="17"/>
      <c r="J39" s="17">
        <f t="shared" si="2"/>
        <v>0</v>
      </c>
      <c r="K39" s="24"/>
      <c r="L39" s="24"/>
      <c r="M39" s="24"/>
      <c r="N39" s="24"/>
      <c r="O39" s="24"/>
      <c r="P39" s="130"/>
      <c r="Q39" s="18">
        <f t="shared" si="3"/>
        <v>0</v>
      </c>
      <c r="R39" s="17">
        <f t="shared" si="4"/>
        <v>0</v>
      </c>
      <c r="S39" s="18">
        <f t="shared" si="5"/>
        <v>0</v>
      </c>
      <c r="T39" s="24"/>
      <c r="U39" s="24"/>
      <c r="V39" s="132"/>
      <c r="W39" s="19">
        <f t="shared" si="6"/>
        <v>0</v>
      </c>
      <c r="X39" s="19"/>
      <c r="Y39" s="19">
        <f>-W39</f>
        <v>0</v>
      </c>
      <c r="Z39" s="24"/>
      <c r="AA39" s="37"/>
      <c r="AB39" s="18">
        <f t="shared" si="7"/>
        <v>0</v>
      </c>
      <c r="AC39" s="100">
        <f t="shared" si="8"/>
        <v>0</v>
      </c>
      <c r="AD39" s="109">
        <f t="shared" si="9"/>
        <v>0</v>
      </c>
      <c r="AE39" s="103">
        <f>E39</f>
        <v>0</v>
      </c>
      <c r="AF39" s="17"/>
      <c r="AG39" s="17"/>
      <c r="AH39" s="24">
        <f t="shared" si="10"/>
        <v>0</v>
      </c>
      <c r="AI39" s="24">
        <f t="shared" si="15"/>
        <v>0</v>
      </c>
      <c r="AJ39" s="15"/>
      <c r="AK39" s="15"/>
      <c r="AL39" s="15"/>
      <c r="AM39" s="15"/>
    </row>
    <row r="40" spans="1:39">
      <c r="A40" s="12" t="s">
        <v>78</v>
      </c>
      <c r="B40" s="17">
        <v>107</v>
      </c>
      <c r="C40" s="12">
        <v>126</v>
      </c>
      <c r="D40" s="17">
        <v>83</v>
      </c>
      <c r="E40" s="18">
        <v>77.570093457943926</v>
      </c>
      <c r="F40" s="24">
        <v>2489.5</v>
      </c>
      <c r="G40" s="17">
        <v>2490</v>
      </c>
      <c r="H40" s="17">
        <f t="shared" si="1"/>
        <v>4979.5</v>
      </c>
      <c r="I40" s="17">
        <v>3000</v>
      </c>
      <c r="J40" s="17">
        <f t="shared" si="2"/>
        <v>-1979.5</v>
      </c>
      <c r="K40" s="24">
        <v>505</v>
      </c>
      <c r="L40" s="24">
        <v>6565</v>
      </c>
      <c r="M40" s="24">
        <v>23</v>
      </c>
      <c r="N40" s="24">
        <v>71.3</v>
      </c>
      <c r="O40" s="24">
        <v>6636.3</v>
      </c>
      <c r="P40" s="18">
        <v>6230.2</v>
      </c>
      <c r="Q40" s="18">
        <f t="shared" si="3"/>
        <v>12866.5</v>
      </c>
      <c r="R40" s="17">
        <f t="shared" si="4"/>
        <v>17679</v>
      </c>
      <c r="S40" s="18">
        <f t="shared" si="5"/>
        <v>4812.5</v>
      </c>
      <c r="T40" s="24">
        <v>0</v>
      </c>
      <c r="U40" s="24">
        <v>0</v>
      </c>
      <c r="V40" s="19">
        <v>0</v>
      </c>
      <c r="W40" s="19">
        <f t="shared" si="6"/>
        <v>0</v>
      </c>
      <c r="X40" s="19"/>
      <c r="Y40" s="19">
        <f>-W40</f>
        <v>0</v>
      </c>
      <c r="Z40" s="24"/>
      <c r="AA40" s="21"/>
      <c r="AB40" s="18">
        <f t="shared" si="7"/>
        <v>0</v>
      </c>
      <c r="AC40" s="100">
        <f t="shared" si="8"/>
        <v>0</v>
      </c>
      <c r="AD40" s="109">
        <f t="shared" si="9"/>
        <v>2833</v>
      </c>
      <c r="AE40" s="103"/>
      <c r="AF40" s="17"/>
      <c r="AG40" s="17"/>
      <c r="AH40" s="24">
        <f t="shared" si="10"/>
        <v>9125.7999999999993</v>
      </c>
      <c r="AI40" s="24">
        <f t="shared" si="15"/>
        <v>9125.7999999999993</v>
      </c>
      <c r="AJ40" s="15"/>
      <c r="AK40" s="15"/>
      <c r="AL40" s="15"/>
      <c r="AM40" s="15"/>
    </row>
    <row r="41" spans="1:39">
      <c r="A41" s="12" t="s">
        <v>80</v>
      </c>
      <c r="B41" s="17">
        <v>153</v>
      </c>
      <c r="C41" s="12">
        <v>113</v>
      </c>
      <c r="D41" s="17">
        <v>109</v>
      </c>
      <c r="E41" s="18">
        <v>71.24183006535948</v>
      </c>
      <c r="F41" s="24">
        <v>2489.5</v>
      </c>
      <c r="G41" s="17">
        <v>2490</v>
      </c>
      <c r="H41" s="17">
        <f t="shared" si="1"/>
        <v>4979.5</v>
      </c>
      <c r="I41" s="17">
        <v>3000</v>
      </c>
      <c r="J41" s="17">
        <f t="shared" si="2"/>
        <v>-1979.5</v>
      </c>
      <c r="K41" s="24">
        <v>597</v>
      </c>
      <c r="L41" s="24">
        <v>7761</v>
      </c>
      <c r="M41" s="24">
        <v>24</v>
      </c>
      <c r="N41" s="24">
        <v>74.400000000000006</v>
      </c>
      <c r="O41" s="24">
        <v>7835.4</v>
      </c>
      <c r="P41" s="18">
        <v>6589.2</v>
      </c>
      <c r="Q41" s="18">
        <f t="shared" si="3"/>
        <v>14424.599999999999</v>
      </c>
      <c r="R41" s="17">
        <f t="shared" si="4"/>
        <v>23217</v>
      </c>
      <c r="S41" s="18">
        <f t="shared" si="5"/>
        <v>8792.4000000000015</v>
      </c>
      <c r="T41" s="24">
        <v>0</v>
      </c>
      <c r="U41" s="24">
        <v>0</v>
      </c>
      <c r="V41" s="19">
        <v>0</v>
      </c>
      <c r="W41" s="19">
        <f t="shared" si="6"/>
        <v>0</v>
      </c>
      <c r="X41" s="19"/>
      <c r="Y41" s="19">
        <f>-W41</f>
        <v>0</v>
      </c>
      <c r="Z41" s="24"/>
      <c r="AA41" s="21"/>
      <c r="AB41" s="18">
        <f t="shared" si="7"/>
        <v>0</v>
      </c>
      <c r="AC41" s="100">
        <f t="shared" si="8"/>
        <v>0</v>
      </c>
      <c r="AD41" s="109">
        <f t="shared" si="9"/>
        <v>6812.9000000000015</v>
      </c>
      <c r="AE41" s="103"/>
      <c r="AF41" s="17"/>
      <c r="AG41" s="17"/>
      <c r="AH41" s="24">
        <f t="shared" si="10"/>
        <v>10324.9</v>
      </c>
      <c r="AI41" s="24">
        <f t="shared" si="15"/>
        <v>10324.9</v>
      </c>
      <c r="AJ41" s="15"/>
      <c r="AK41" s="15"/>
      <c r="AL41" s="15"/>
      <c r="AM41" s="15"/>
    </row>
    <row r="42" spans="1:39">
      <c r="A42" s="12" t="s">
        <v>81</v>
      </c>
      <c r="B42" s="17">
        <v>149</v>
      </c>
      <c r="C42" s="12">
        <v>141</v>
      </c>
      <c r="D42" s="17">
        <v>76</v>
      </c>
      <c r="E42" s="18">
        <v>51.006711409395976</v>
      </c>
      <c r="F42" s="24">
        <v>2489.5</v>
      </c>
      <c r="G42" s="17">
        <v>2490</v>
      </c>
      <c r="H42" s="17">
        <f t="shared" si="1"/>
        <v>4979.5</v>
      </c>
      <c r="I42" s="17">
        <v>3000</v>
      </c>
      <c r="J42" s="17">
        <f t="shared" si="2"/>
        <v>-1979.5</v>
      </c>
      <c r="K42" s="24">
        <v>409</v>
      </c>
      <c r="L42" s="24">
        <v>5317</v>
      </c>
      <c r="M42" s="24">
        <v>42</v>
      </c>
      <c r="N42" s="24">
        <v>130.20000000000002</v>
      </c>
      <c r="O42" s="24">
        <v>5447.2</v>
      </c>
      <c r="P42" s="18">
        <v>5085</v>
      </c>
      <c r="Q42" s="18">
        <f t="shared" si="3"/>
        <v>10532.2</v>
      </c>
      <c r="R42" s="17">
        <f t="shared" si="4"/>
        <v>16188</v>
      </c>
      <c r="S42" s="18">
        <f t="shared" si="5"/>
        <v>5655.7999999999993</v>
      </c>
      <c r="T42" s="24">
        <v>34.5</v>
      </c>
      <c r="U42" s="24">
        <v>1138.5</v>
      </c>
      <c r="V42" s="19">
        <v>1485</v>
      </c>
      <c r="W42" s="19">
        <f t="shared" si="6"/>
        <v>2623.5</v>
      </c>
      <c r="X42" s="19"/>
      <c r="Y42" s="19">
        <f>-W42*Y4</f>
        <v>2623.5</v>
      </c>
      <c r="Z42" s="24"/>
      <c r="AA42" s="21"/>
      <c r="AB42" s="18">
        <f t="shared" si="7"/>
        <v>0</v>
      </c>
      <c r="AC42" s="100">
        <f t="shared" si="8"/>
        <v>0</v>
      </c>
      <c r="AD42" s="108">
        <f t="shared" si="9"/>
        <v>6299.7999999999993</v>
      </c>
      <c r="AE42" s="103">
        <f>E42</f>
        <v>51.006711409395976</v>
      </c>
      <c r="AF42" s="22"/>
      <c r="AG42" s="22"/>
      <c r="AH42" s="24">
        <f t="shared" si="10"/>
        <v>7936.7</v>
      </c>
      <c r="AI42" s="24">
        <f t="shared" si="15"/>
        <v>9075.2000000000007</v>
      </c>
      <c r="AJ42" s="15"/>
      <c r="AK42" s="15"/>
      <c r="AL42" s="15"/>
      <c r="AM42" s="15"/>
    </row>
    <row r="43" spans="1:39">
      <c r="A43" s="12" t="s">
        <v>82</v>
      </c>
      <c r="B43" s="17">
        <v>261</v>
      </c>
      <c r="C43" s="12">
        <v>244</v>
      </c>
      <c r="D43" s="17">
        <v>70</v>
      </c>
      <c r="E43" s="18">
        <v>26.819923371647509</v>
      </c>
      <c r="F43" s="24">
        <v>2489.5</v>
      </c>
      <c r="G43" s="17">
        <v>2490</v>
      </c>
      <c r="H43" s="17">
        <f t="shared" si="1"/>
        <v>4979.5</v>
      </c>
      <c r="I43" s="17">
        <v>3000</v>
      </c>
      <c r="J43" s="17">
        <f t="shared" si="2"/>
        <v>-1979.5</v>
      </c>
      <c r="K43" s="24">
        <v>366</v>
      </c>
      <c r="L43" s="24">
        <v>4758</v>
      </c>
      <c r="M43" s="24">
        <v>54</v>
      </c>
      <c r="N43" s="24">
        <v>167.4</v>
      </c>
      <c r="O43" s="24">
        <v>4925.3999999999996</v>
      </c>
      <c r="P43" s="18">
        <v>5512.2</v>
      </c>
      <c r="Q43" s="18">
        <f t="shared" si="3"/>
        <v>10437.599999999999</v>
      </c>
      <c r="R43" s="17">
        <f t="shared" si="4"/>
        <v>14910</v>
      </c>
      <c r="S43" s="18">
        <f t="shared" si="5"/>
        <v>4472.4000000000015</v>
      </c>
      <c r="T43" s="24">
        <v>0</v>
      </c>
      <c r="U43" s="24">
        <v>0</v>
      </c>
      <c r="V43" s="19">
        <v>0</v>
      </c>
      <c r="W43" s="19">
        <f t="shared" si="6"/>
        <v>0</v>
      </c>
      <c r="X43" s="19"/>
      <c r="Y43" s="19">
        <f>-W43</f>
        <v>0</v>
      </c>
      <c r="Z43" s="24">
        <f>[2]Svømmetimetilskud!J6</f>
        <v>2142.1181555980361</v>
      </c>
      <c r="AA43" s="32">
        <v>2074.9364639691153</v>
      </c>
      <c r="AB43" s="18">
        <f t="shared" si="7"/>
        <v>4217.0546195671513</v>
      </c>
      <c r="AC43" s="100">
        <f>AB43</f>
        <v>4217.0546195671513</v>
      </c>
      <c r="AD43" s="108">
        <f t="shared" si="9"/>
        <v>6709.9546195671528</v>
      </c>
      <c r="AE43" s="103"/>
      <c r="AF43" s="22"/>
      <c r="AG43" s="22"/>
      <c r="AH43" s="24">
        <f t="shared" si="10"/>
        <v>7414.9</v>
      </c>
      <c r="AI43" s="24">
        <f t="shared" si="15"/>
        <v>7414.9</v>
      </c>
      <c r="AJ43" s="15"/>
      <c r="AK43" s="15"/>
      <c r="AL43" s="15"/>
      <c r="AM43" s="15"/>
    </row>
    <row r="44" spans="1:39">
      <c r="A44" s="12" t="s">
        <v>83</v>
      </c>
      <c r="B44" s="11">
        <v>13</v>
      </c>
      <c r="C44" s="12">
        <v>12</v>
      </c>
      <c r="D44" s="11">
        <v>13</v>
      </c>
      <c r="E44" s="23">
        <v>100</v>
      </c>
      <c r="F44" s="14">
        <v>2489.5</v>
      </c>
      <c r="G44" s="17">
        <v>2490</v>
      </c>
      <c r="H44" s="17">
        <f t="shared" si="1"/>
        <v>4979.5</v>
      </c>
      <c r="I44" s="17">
        <v>3000</v>
      </c>
      <c r="J44" s="17">
        <f t="shared" si="2"/>
        <v>-1979.5</v>
      </c>
      <c r="K44" s="24">
        <v>61</v>
      </c>
      <c r="L44" s="24">
        <v>793</v>
      </c>
      <c r="M44" s="24">
        <v>0</v>
      </c>
      <c r="N44" s="24">
        <v>0</v>
      </c>
      <c r="O44" s="24">
        <v>793</v>
      </c>
      <c r="P44" s="18">
        <v>624</v>
      </c>
      <c r="Q44" s="18">
        <f t="shared" si="3"/>
        <v>1417</v>
      </c>
      <c r="R44" s="17">
        <f t="shared" si="4"/>
        <v>2769</v>
      </c>
      <c r="S44" s="18">
        <f t="shared" si="5"/>
        <v>1352</v>
      </c>
      <c r="T44" s="24">
        <v>258</v>
      </c>
      <c r="U44" s="24">
        <v>8514</v>
      </c>
      <c r="V44" s="19">
        <v>6600</v>
      </c>
      <c r="W44" s="19">
        <f t="shared" si="6"/>
        <v>15114</v>
      </c>
      <c r="X44" s="19">
        <f>W44/33</f>
        <v>458</v>
      </c>
      <c r="Y44" s="19">
        <f>-W44*Y4</f>
        <v>15114</v>
      </c>
      <c r="Z44" s="24"/>
      <c r="AA44" s="21"/>
      <c r="AB44" s="18">
        <f t="shared" si="7"/>
        <v>0</v>
      </c>
      <c r="AC44" s="100">
        <f t="shared" si="8"/>
        <v>0</v>
      </c>
      <c r="AD44" s="109">
        <f>J44+S44+Y44+AC44+AG44</f>
        <v>14486.5</v>
      </c>
      <c r="AE44" s="103">
        <f>E44</f>
        <v>100</v>
      </c>
      <c r="AF44" s="17">
        <f>X44*AE44/100</f>
        <v>458</v>
      </c>
      <c r="AG44" s="17">
        <f>AF44*AG4/AF60</f>
        <v>0</v>
      </c>
      <c r="AH44" s="24">
        <f t="shared" si="10"/>
        <v>3282.5</v>
      </c>
      <c r="AI44" s="24">
        <f t="shared" si="15"/>
        <v>11796.5</v>
      </c>
      <c r="AJ44" s="15"/>
      <c r="AK44" s="15"/>
      <c r="AL44" s="15"/>
      <c r="AM44" s="15"/>
    </row>
    <row r="45" spans="1:39">
      <c r="A45" s="12" t="s">
        <v>84</v>
      </c>
      <c r="B45" s="11">
        <v>11</v>
      </c>
      <c r="C45" s="12">
        <v>13</v>
      </c>
      <c r="D45" s="11">
        <v>10</v>
      </c>
      <c r="E45" s="23">
        <v>90.909090909090907</v>
      </c>
      <c r="F45" s="14">
        <v>2489.5</v>
      </c>
      <c r="G45" s="17">
        <v>2490</v>
      </c>
      <c r="H45" s="17">
        <f t="shared" si="1"/>
        <v>4979.5</v>
      </c>
      <c r="I45" s="17">
        <v>3000</v>
      </c>
      <c r="J45" s="17">
        <f t="shared" si="2"/>
        <v>-1979.5</v>
      </c>
      <c r="K45" s="24">
        <v>58</v>
      </c>
      <c r="L45" s="24">
        <v>754</v>
      </c>
      <c r="M45" s="24">
        <v>2</v>
      </c>
      <c r="N45" s="24">
        <v>6.2</v>
      </c>
      <c r="O45" s="24">
        <v>760.2</v>
      </c>
      <c r="P45" s="18">
        <v>858</v>
      </c>
      <c r="Q45" s="18">
        <f t="shared" si="3"/>
        <v>1618.2</v>
      </c>
      <c r="R45" s="17">
        <f t="shared" si="4"/>
        <v>2130</v>
      </c>
      <c r="S45" s="18">
        <f t="shared" si="5"/>
        <v>511.79999999999995</v>
      </c>
      <c r="T45" s="24">
        <v>0</v>
      </c>
      <c r="U45" s="24">
        <v>0</v>
      </c>
      <c r="V45" s="19">
        <v>0</v>
      </c>
      <c r="W45" s="19">
        <f t="shared" si="6"/>
        <v>0</v>
      </c>
      <c r="X45" s="19"/>
      <c r="Y45" s="19">
        <f>-W45</f>
        <v>0</v>
      </c>
      <c r="Z45" s="24"/>
      <c r="AA45" s="21"/>
      <c r="AB45" s="18">
        <f t="shared" si="7"/>
        <v>0</v>
      </c>
      <c r="AC45" s="100">
        <f t="shared" si="8"/>
        <v>0</v>
      </c>
      <c r="AD45" s="109">
        <f t="shared" si="9"/>
        <v>-1467.7</v>
      </c>
      <c r="AE45" s="103"/>
      <c r="AF45" s="17"/>
      <c r="AG45" s="17"/>
      <c r="AH45" s="24">
        <f t="shared" si="10"/>
        <v>3249.7</v>
      </c>
      <c r="AI45" s="24">
        <f t="shared" si="15"/>
        <v>3249.7</v>
      </c>
      <c r="AJ45" s="15"/>
      <c r="AK45" s="15"/>
      <c r="AL45" s="15"/>
      <c r="AM45" s="15"/>
    </row>
    <row r="46" spans="1:39">
      <c r="A46" s="12" t="s">
        <v>85</v>
      </c>
      <c r="B46" s="17"/>
      <c r="C46" s="12">
        <v>31</v>
      </c>
      <c r="D46" s="17"/>
      <c r="E46" s="18"/>
      <c r="F46" s="24"/>
      <c r="G46" s="17">
        <v>2490</v>
      </c>
      <c r="H46" s="17">
        <f t="shared" si="1"/>
        <v>2490</v>
      </c>
      <c r="I46" s="17">
        <v>3000</v>
      </c>
      <c r="J46" s="17">
        <f t="shared" si="2"/>
        <v>510</v>
      </c>
      <c r="K46" s="24"/>
      <c r="L46" s="24"/>
      <c r="M46" s="24"/>
      <c r="N46" s="24"/>
      <c r="O46" s="24"/>
      <c r="P46" s="18">
        <v>1612</v>
      </c>
      <c r="Q46" s="18">
        <f t="shared" si="3"/>
        <v>1612</v>
      </c>
      <c r="R46" s="17">
        <f t="shared" si="4"/>
        <v>0</v>
      </c>
      <c r="S46" s="18">
        <f t="shared" si="5"/>
        <v>-1612</v>
      </c>
      <c r="T46" s="24"/>
      <c r="U46" s="24"/>
      <c r="V46" s="19">
        <v>0</v>
      </c>
      <c r="W46" s="19">
        <f t="shared" si="6"/>
        <v>0</v>
      </c>
      <c r="X46" s="19"/>
      <c r="Y46" s="19">
        <f>-W46</f>
        <v>0</v>
      </c>
      <c r="Z46" s="24"/>
      <c r="AA46" s="21"/>
      <c r="AB46" s="18">
        <f t="shared" si="7"/>
        <v>0</v>
      </c>
      <c r="AC46" s="100">
        <f t="shared" si="8"/>
        <v>0</v>
      </c>
      <c r="AD46" s="109">
        <f t="shared" si="9"/>
        <v>-1102</v>
      </c>
      <c r="AE46" s="103"/>
      <c r="AF46" s="17"/>
      <c r="AG46" s="17"/>
      <c r="AH46" s="24">
        <f t="shared" si="10"/>
        <v>0</v>
      </c>
      <c r="AI46" s="24">
        <f t="shared" si="15"/>
        <v>0</v>
      </c>
      <c r="AJ46" s="15"/>
      <c r="AK46" s="15"/>
      <c r="AL46" s="15"/>
      <c r="AM46" s="15"/>
    </row>
    <row r="47" spans="1:39">
      <c r="A47" s="12" t="s">
        <v>86</v>
      </c>
      <c r="B47" s="17">
        <v>522</v>
      </c>
      <c r="C47" s="12">
        <v>537</v>
      </c>
      <c r="D47" s="17">
        <v>371</v>
      </c>
      <c r="E47" s="18">
        <v>71.072796934865906</v>
      </c>
      <c r="F47" s="12">
        <v>4980</v>
      </c>
      <c r="G47" s="17">
        <v>4980</v>
      </c>
      <c r="H47" s="17">
        <f t="shared" si="1"/>
        <v>9960</v>
      </c>
      <c r="I47" s="17">
        <v>3000</v>
      </c>
      <c r="J47" s="17">
        <f t="shared" si="2"/>
        <v>-6960</v>
      </c>
      <c r="K47" s="12">
        <v>1298</v>
      </c>
      <c r="L47" s="12">
        <v>16874</v>
      </c>
      <c r="M47" s="12">
        <v>8</v>
      </c>
      <c r="N47" s="12">
        <v>24.8</v>
      </c>
      <c r="O47" s="12">
        <v>16898.8</v>
      </c>
      <c r="P47" s="18">
        <v>17175.3</v>
      </c>
      <c r="Q47" s="18">
        <f t="shared" si="3"/>
        <v>34074.1</v>
      </c>
      <c r="R47" s="17">
        <f t="shared" si="4"/>
        <v>79023</v>
      </c>
      <c r="S47" s="18">
        <f t="shared" si="5"/>
        <v>44948.9</v>
      </c>
      <c r="T47" s="12">
        <v>16</v>
      </c>
      <c r="U47" s="12">
        <v>528</v>
      </c>
      <c r="V47" s="19">
        <v>0</v>
      </c>
      <c r="W47" s="19">
        <f t="shared" si="6"/>
        <v>528</v>
      </c>
      <c r="X47" s="19"/>
      <c r="Y47" s="19">
        <f>-W47*Y4</f>
        <v>528</v>
      </c>
      <c r="Z47" s="12"/>
      <c r="AA47" s="21">
        <v>0</v>
      </c>
      <c r="AB47" s="18">
        <f t="shared" si="7"/>
        <v>0</v>
      </c>
      <c r="AC47" s="100">
        <f t="shared" si="8"/>
        <v>0</v>
      </c>
      <c r="AD47" s="108">
        <f t="shared" si="9"/>
        <v>38516.9</v>
      </c>
      <c r="AE47" s="103">
        <f>E47</f>
        <v>71.072796934865906</v>
      </c>
      <c r="AF47" s="22"/>
      <c r="AG47" s="22"/>
      <c r="AH47" s="24">
        <f t="shared" si="10"/>
        <v>21878.799999999999</v>
      </c>
      <c r="AI47" s="24">
        <f t="shared" si="15"/>
        <v>22406.799999999999</v>
      </c>
      <c r="AJ47" s="15"/>
      <c r="AK47" s="15"/>
      <c r="AL47" s="38"/>
      <c r="AM47" s="15"/>
    </row>
    <row r="48" spans="1:39">
      <c r="A48" s="12" t="s">
        <v>87</v>
      </c>
      <c r="B48" s="17">
        <v>71</v>
      </c>
      <c r="C48" s="12"/>
      <c r="D48" s="17">
        <v>21</v>
      </c>
      <c r="E48" s="18">
        <v>29.577464788732392</v>
      </c>
      <c r="F48" s="24">
        <v>2489.5</v>
      </c>
      <c r="G48" s="17"/>
      <c r="H48" s="17">
        <f t="shared" si="1"/>
        <v>2489.5</v>
      </c>
      <c r="I48" s="17">
        <v>3000</v>
      </c>
      <c r="J48" s="17">
        <f t="shared" si="2"/>
        <v>510.5</v>
      </c>
      <c r="K48" s="24">
        <v>90</v>
      </c>
      <c r="L48" s="24">
        <v>1170</v>
      </c>
      <c r="M48" s="24">
        <v>36</v>
      </c>
      <c r="N48" s="24">
        <v>111.60000000000001</v>
      </c>
      <c r="O48" s="24">
        <v>1281.5999999999999</v>
      </c>
      <c r="P48" s="18"/>
      <c r="Q48" s="18">
        <f t="shared" si="3"/>
        <v>1281.5999999999999</v>
      </c>
      <c r="R48" s="17">
        <f t="shared" si="4"/>
        <v>4473</v>
      </c>
      <c r="S48" s="18">
        <f t="shared" si="5"/>
        <v>3191.4</v>
      </c>
      <c r="T48" s="24">
        <v>0</v>
      </c>
      <c r="U48" s="24">
        <v>0</v>
      </c>
      <c r="V48" s="19"/>
      <c r="W48" s="19">
        <f t="shared" si="6"/>
        <v>0</v>
      </c>
      <c r="X48" s="19"/>
      <c r="Y48" s="19">
        <f>-W48</f>
        <v>0</v>
      </c>
      <c r="Z48" s="24"/>
      <c r="AA48" s="21">
        <v>0</v>
      </c>
      <c r="AB48" s="18">
        <f t="shared" si="7"/>
        <v>0</v>
      </c>
      <c r="AC48" s="100">
        <f t="shared" si="8"/>
        <v>0</v>
      </c>
      <c r="AD48" s="109">
        <f t="shared" si="9"/>
        <v>3701.9</v>
      </c>
      <c r="AE48" s="103"/>
      <c r="AF48" s="17"/>
      <c r="AG48" s="17"/>
      <c r="AH48" s="24">
        <f t="shared" si="10"/>
        <v>3771.1</v>
      </c>
      <c r="AI48" s="24">
        <f t="shared" si="15"/>
        <v>3771.1</v>
      </c>
      <c r="AJ48" s="15"/>
      <c r="AK48" s="15"/>
      <c r="AL48" s="15"/>
      <c r="AM48" s="15"/>
    </row>
    <row r="49" spans="1:39">
      <c r="A49" s="12" t="s">
        <v>88</v>
      </c>
      <c r="B49" s="11">
        <v>96</v>
      </c>
      <c r="C49" s="12">
        <v>73</v>
      </c>
      <c r="D49" s="11">
        <v>78</v>
      </c>
      <c r="E49" s="23">
        <v>81.25</v>
      </c>
      <c r="F49" s="12">
        <v>2489.5</v>
      </c>
      <c r="G49" s="17">
        <v>2490</v>
      </c>
      <c r="H49" s="17">
        <f t="shared" si="1"/>
        <v>4979.5</v>
      </c>
      <c r="I49" s="17">
        <v>3000</v>
      </c>
      <c r="J49" s="17">
        <f t="shared" si="2"/>
        <v>-1979.5</v>
      </c>
      <c r="K49" s="12">
        <v>401</v>
      </c>
      <c r="L49" s="12">
        <v>5213</v>
      </c>
      <c r="M49" s="12">
        <v>12</v>
      </c>
      <c r="N49" s="12">
        <v>37.200000000000003</v>
      </c>
      <c r="O49" s="12">
        <v>5250.2</v>
      </c>
      <c r="P49" s="18">
        <v>4047.4</v>
      </c>
      <c r="Q49" s="18">
        <f t="shared" si="3"/>
        <v>9297.6</v>
      </c>
      <c r="R49" s="17">
        <f t="shared" si="4"/>
        <v>16614</v>
      </c>
      <c r="S49" s="18">
        <f t="shared" si="5"/>
        <v>7316.4</v>
      </c>
      <c r="T49" s="12">
        <v>0</v>
      </c>
      <c r="U49" s="12">
        <v>0</v>
      </c>
      <c r="V49" s="19">
        <v>0</v>
      </c>
      <c r="W49" s="19">
        <f t="shared" si="6"/>
        <v>0</v>
      </c>
      <c r="X49" s="19"/>
      <c r="Y49" s="19">
        <f>-W49</f>
        <v>0</v>
      </c>
      <c r="Z49" s="12"/>
      <c r="AA49" s="21"/>
      <c r="AB49" s="18">
        <f t="shared" si="7"/>
        <v>0</v>
      </c>
      <c r="AC49" s="100">
        <f t="shared" si="8"/>
        <v>0</v>
      </c>
      <c r="AD49" s="109">
        <f t="shared" si="9"/>
        <v>5336.9</v>
      </c>
      <c r="AE49" s="103"/>
      <c r="AF49" s="17"/>
      <c r="AG49" s="17"/>
      <c r="AH49" s="24">
        <f t="shared" si="10"/>
        <v>7739.7</v>
      </c>
      <c r="AI49" s="24">
        <f t="shared" si="15"/>
        <v>7739.7</v>
      </c>
      <c r="AJ49" s="15"/>
      <c r="AK49" s="15"/>
      <c r="AL49" s="15"/>
      <c r="AM49" s="15"/>
    </row>
    <row r="50" spans="1:39">
      <c r="A50" s="12" t="s">
        <v>89</v>
      </c>
      <c r="B50" s="17">
        <v>557</v>
      </c>
      <c r="C50" s="12">
        <v>631</v>
      </c>
      <c r="D50" s="17">
        <v>450</v>
      </c>
      <c r="E50" s="18">
        <v>80.789946140035909</v>
      </c>
      <c r="F50" s="24">
        <v>4980</v>
      </c>
      <c r="G50" s="17">
        <v>4980</v>
      </c>
      <c r="H50" s="17">
        <f t="shared" si="1"/>
        <v>9960</v>
      </c>
      <c r="I50" s="17">
        <v>3000</v>
      </c>
      <c r="J50" s="17">
        <f t="shared" si="2"/>
        <v>-6960</v>
      </c>
      <c r="K50" s="24">
        <v>2530</v>
      </c>
      <c r="L50" s="24">
        <v>32890</v>
      </c>
      <c r="M50" s="24">
        <v>142</v>
      </c>
      <c r="N50" s="24">
        <v>440.2</v>
      </c>
      <c r="O50" s="24">
        <v>33330.199999999997</v>
      </c>
      <c r="P50" s="18">
        <v>33472.400000000001</v>
      </c>
      <c r="Q50" s="18">
        <f t="shared" si="3"/>
        <v>66802.600000000006</v>
      </c>
      <c r="R50" s="17">
        <f t="shared" si="4"/>
        <v>95850</v>
      </c>
      <c r="S50" s="18">
        <f t="shared" si="5"/>
        <v>29047.399999999994</v>
      </c>
      <c r="T50" s="24">
        <v>277</v>
      </c>
      <c r="U50" s="24">
        <v>9141</v>
      </c>
      <c r="V50" s="19">
        <v>14421</v>
      </c>
      <c r="W50" s="19">
        <f t="shared" si="6"/>
        <v>23562</v>
      </c>
      <c r="X50" s="19"/>
      <c r="Y50" s="19">
        <f>-W50*Y4</f>
        <v>23562</v>
      </c>
      <c r="Z50" s="24"/>
      <c r="AA50" s="21"/>
      <c r="AB50" s="18">
        <f t="shared" si="7"/>
        <v>0</v>
      </c>
      <c r="AC50" s="100">
        <f t="shared" si="8"/>
        <v>0</v>
      </c>
      <c r="AD50" s="108">
        <f t="shared" si="9"/>
        <v>45649.399999999994</v>
      </c>
      <c r="AE50" s="103">
        <f>E50</f>
        <v>80.789946140035909</v>
      </c>
      <c r="AF50" s="22"/>
      <c r="AG50" s="22"/>
      <c r="AH50" s="24">
        <f t="shared" si="10"/>
        <v>38310.199999999997</v>
      </c>
      <c r="AI50" s="24">
        <f t="shared" si="15"/>
        <v>47451.199999999997</v>
      </c>
      <c r="AJ50" s="15"/>
      <c r="AK50" s="15"/>
      <c r="AL50" s="15"/>
      <c r="AM50" s="15"/>
    </row>
    <row r="51" spans="1:39">
      <c r="A51" s="12" t="s">
        <v>91</v>
      </c>
      <c r="B51" s="17"/>
      <c r="C51" s="12"/>
      <c r="D51" s="17"/>
      <c r="E51" s="18"/>
      <c r="F51" s="24"/>
      <c r="G51" s="17"/>
      <c r="H51" s="17">
        <f t="shared" si="1"/>
        <v>0</v>
      </c>
      <c r="I51" s="17"/>
      <c r="J51" s="17">
        <f t="shared" si="2"/>
        <v>0</v>
      </c>
      <c r="K51" s="24"/>
      <c r="L51" s="24"/>
      <c r="M51" s="24"/>
      <c r="N51" s="24"/>
      <c r="O51" s="24"/>
      <c r="P51" s="18"/>
      <c r="Q51" s="18">
        <f t="shared" si="3"/>
        <v>0</v>
      </c>
      <c r="R51" s="17">
        <f t="shared" si="4"/>
        <v>0</v>
      </c>
      <c r="S51" s="18">
        <f t="shared" si="5"/>
        <v>0</v>
      </c>
      <c r="T51" s="24"/>
      <c r="U51" s="24"/>
      <c r="V51" s="19"/>
      <c r="W51" s="19">
        <f t="shared" si="6"/>
        <v>0</v>
      </c>
      <c r="X51" s="19"/>
      <c r="Y51" s="19">
        <f t="shared" ref="Y51:Y57" si="16">-W51</f>
        <v>0</v>
      </c>
      <c r="Z51" s="24"/>
      <c r="AA51" s="21"/>
      <c r="AB51" s="18">
        <f t="shared" si="7"/>
        <v>0</v>
      </c>
      <c r="AC51" s="100">
        <f t="shared" si="8"/>
        <v>0</v>
      </c>
      <c r="AD51" s="109">
        <f t="shared" si="9"/>
        <v>0</v>
      </c>
      <c r="AE51" s="103"/>
      <c r="AF51" s="17"/>
      <c r="AG51" s="17"/>
      <c r="AH51" s="24">
        <f t="shared" si="10"/>
        <v>0</v>
      </c>
      <c r="AI51" s="24">
        <f t="shared" si="15"/>
        <v>0</v>
      </c>
      <c r="AJ51" s="15"/>
      <c r="AK51" s="15"/>
      <c r="AL51" s="15"/>
      <c r="AM51" s="15"/>
    </row>
    <row r="52" spans="1:39">
      <c r="A52" s="12" t="s">
        <v>92</v>
      </c>
      <c r="B52" s="17">
        <v>615</v>
      </c>
      <c r="C52" s="12">
        <v>555</v>
      </c>
      <c r="D52" s="17">
        <v>216</v>
      </c>
      <c r="E52" s="18">
        <v>35.121951219512191</v>
      </c>
      <c r="F52" s="24">
        <v>4980</v>
      </c>
      <c r="G52" s="17">
        <v>4980</v>
      </c>
      <c r="H52" s="17">
        <f t="shared" si="1"/>
        <v>9960</v>
      </c>
      <c r="I52" s="17">
        <v>3000</v>
      </c>
      <c r="J52" s="17">
        <f t="shared" si="2"/>
        <v>-6960</v>
      </c>
      <c r="K52" s="24">
        <v>864</v>
      </c>
      <c r="L52" s="24">
        <v>11232</v>
      </c>
      <c r="M52" s="24">
        <v>0</v>
      </c>
      <c r="N52" s="24">
        <v>0</v>
      </c>
      <c r="O52" s="24">
        <v>11232</v>
      </c>
      <c r="P52" s="18">
        <v>9308</v>
      </c>
      <c r="Q52" s="18">
        <f t="shared" si="3"/>
        <v>20540</v>
      </c>
      <c r="R52" s="17">
        <f t="shared" si="4"/>
        <v>46008</v>
      </c>
      <c r="S52" s="18">
        <f t="shared" si="5"/>
        <v>25468</v>
      </c>
      <c r="T52" s="24">
        <v>0</v>
      </c>
      <c r="U52" s="24">
        <v>0</v>
      </c>
      <c r="V52" s="19">
        <v>0</v>
      </c>
      <c r="W52" s="19">
        <f t="shared" si="6"/>
        <v>0</v>
      </c>
      <c r="X52" s="19"/>
      <c r="Y52" s="19">
        <f t="shared" si="16"/>
        <v>0</v>
      </c>
      <c r="Z52" s="24"/>
      <c r="AA52" s="21"/>
      <c r="AB52" s="18">
        <f t="shared" si="7"/>
        <v>0</v>
      </c>
      <c r="AC52" s="100">
        <f t="shared" si="8"/>
        <v>0</v>
      </c>
      <c r="AD52" s="108">
        <f t="shared" si="9"/>
        <v>18508</v>
      </c>
      <c r="AE52" s="103"/>
      <c r="AF52" s="22"/>
      <c r="AG52" s="22"/>
      <c r="AH52" s="24">
        <f t="shared" si="10"/>
        <v>16212</v>
      </c>
      <c r="AI52" s="24">
        <f t="shared" si="15"/>
        <v>16212</v>
      </c>
      <c r="AJ52" s="15"/>
      <c r="AK52" s="15"/>
      <c r="AL52" s="15"/>
      <c r="AM52" s="15"/>
    </row>
    <row r="53" spans="1:39" ht="30">
      <c r="A53" s="60" t="s">
        <v>93</v>
      </c>
      <c r="B53" s="17"/>
      <c r="C53" s="12">
        <v>173</v>
      </c>
      <c r="D53" s="17"/>
      <c r="E53" s="18"/>
      <c r="F53" s="24"/>
      <c r="G53" s="11">
        <v>2490</v>
      </c>
      <c r="H53" s="17">
        <f t="shared" si="1"/>
        <v>2490</v>
      </c>
      <c r="I53" s="17">
        <v>3000</v>
      </c>
      <c r="J53" s="17">
        <f t="shared" si="2"/>
        <v>510</v>
      </c>
      <c r="K53" s="24"/>
      <c r="L53" s="24"/>
      <c r="M53" s="24"/>
      <c r="N53" s="24"/>
      <c r="O53" s="24"/>
      <c r="P53" s="18">
        <v>596.5</v>
      </c>
      <c r="Q53" s="18">
        <f t="shared" si="3"/>
        <v>596.5</v>
      </c>
      <c r="R53" s="17">
        <f t="shared" si="4"/>
        <v>0</v>
      </c>
      <c r="S53" s="18">
        <f t="shared" si="5"/>
        <v>-596.5</v>
      </c>
      <c r="T53" s="24"/>
      <c r="U53" s="24"/>
      <c r="V53" s="12">
        <v>0</v>
      </c>
      <c r="W53" s="19">
        <f t="shared" si="6"/>
        <v>0</v>
      </c>
      <c r="X53" s="19"/>
      <c r="Y53" s="19">
        <f t="shared" si="16"/>
        <v>0</v>
      </c>
      <c r="Z53" s="24"/>
      <c r="AA53" s="21"/>
      <c r="AB53" s="18">
        <f t="shared" si="7"/>
        <v>0</v>
      </c>
      <c r="AC53" s="100">
        <f t="shared" si="8"/>
        <v>0</v>
      </c>
      <c r="AD53" s="109">
        <f t="shared" si="9"/>
        <v>-86.5</v>
      </c>
      <c r="AE53" s="103"/>
      <c r="AF53" s="17"/>
      <c r="AG53" s="17"/>
      <c r="AH53" s="24">
        <f t="shared" si="10"/>
        <v>0</v>
      </c>
      <c r="AI53" s="24">
        <f t="shared" si="15"/>
        <v>0</v>
      </c>
      <c r="AJ53" s="15"/>
      <c r="AK53" s="15"/>
      <c r="AL53" s="15"/>
      <c r="AM53" s="15"/>
    </row>
    <row r="54" spans="1:39">
      <c r="A54" s="12" t="s">
        <v>94</v>
      </c>
      <c r="B54" s="11">
        <v>58</v>
      </c>
      <c r="C54" s="10">
        <v>58</v>
      </c>
      <c r="D54" s="11">
        <v>11</v>
      </c>
      <c r="E54" s="23">
        <v>18.96551724137931</v>
      </c>
      <c r="F54" s="12">
        <v>2489.5</v>
      </c>
      <c r="G54" s="11">
        <v>2490</v>
      </c>
      <c r="H54" s="17">
        <f t="shared" si="1"/>
        <v>4979.5</v>
      </c>
      <c r="I54" s="17">
        <v>3000</v>
      </c>
      <c r="J54" s="17">
        <f t="shared" si="2"/>
        <v>-1979.5</v>
      </c>
      <c r="K54" s="12">
        <v>66</v>
      </c>
      <c r="L54" s="12">
        <v>858</v>
      </c>
      <c r="M54" s="12">
        <v>0</v>
      </c>
      <c r="N54" s="12">
        <v>0</v>
      </c>
      <c r="O54" s="12">
        <v>858</v>
      </c>
      <c r="P54" s="18">
        <v>873.5</v>
      </c>
      <c r="Q54" s="18">
        <f t="shared" si="3"/>
        <v>1731.5</v>
      </c>
      <c r="R54" s="17">
        <f t="shared" si="4"/>
        <v>2343</v>
      </c>
      <c r="S54" s="18">
        <f t="shared" si="5"/>
        <v>611.5</v>
      </c>
      <c r="T54" s="12">
        <v>0</v>
      </c>
      <c r="U54" s="12">
        <v>0</v>
      </c>
      <c r="V54" s="12">
        <v>0</v>
      </c>
      <c r="W54" s="19">
        <f t="shared" si="6"/>
        <v>0</v>
      </c>
      <c r="X54" s="19"/>
      <c r="Y54" s="19">
        <f t="shared" si="16"/>
        <v>0</v>
      </c>
      <c r="Z54" s="12"/>
      <c r="AA54" s="21"/>
      <c r="AB54" s="18">
        <f t="shared" si="7"/>
        <v>0</v>
      </c>
      <c r="AC54" s="100">
        <f t="shared" si="8"/>
        <v>0</v>
      </c>
      <c r="AD54" s="109">
        <f t="shared" si="9"/>
        <v>-1368</v>
      </c>
      <c r="AE54" s="103"/>
      <c r="AF54" s="17"/>
      <c r="AG54" s="17"/>
      <c r="AH54" s="24">
        <f t="shared" si="10"/>
        <v>3347.5</v>
      </c>
      <c r="AI54" s="24">
        <f t="shared" si="15"/>
        <v>3347.5</v>
      </c>
      <c r="AJ54" s="15"/>
      <c r="AK54" s="15"/>
      <c r="AL54" s="15"/>
      <c r="AM54" s="15"/>
    </row>
    <row r="55" spans="1:39">
      <c r="A55" s="12" t="s">
        <v>95</v>
      </c>
      <c r="B55" s="17">
        <v>258</v>
      </c>
      <c r="C55" s="12">
        <v>257</v>
      </c>
      <c r="D55" s="17">
        <v>26</v>
      </c>
      <c r="E55" s="18">
        <v>10.077519379844961</v>
      </c>
      <c r="F55" s="24">
        <v>2489.5</v>
      </c>
      <c r="G55" s="17">
        <v>2490</v>
      </c>
      <c r="H55" s="17">
        <f t="shared" si="1"/>
        <v>4979.5</v>
      </c>
      <c r="I55" s="17">
        <v>3000</v>
      </c>
      <c r="J55" s="17">
        <f t="shared" si="2"/>
        <v>-1979.5</v>
      </c>
      <c r="K55" s="24">
        <v>165</v>
      </c>
      <c r="L55" s="24">
        <v>2145</v>
      </c>
      <c r="M55" s="24">
        <v>0</v>
      </c>
      <c r="N55" s="24">
        <v>0</v>
      </c>
      <c r="O55" s="24">
        <v>2145</v>
      </c>
      <c r="P55" s="18">
        <v>2431</v>
      </c>
      <c r="Q55" s="18">
        <f t="shared" si="3"/>
        <v>4576</v>
      </c>
      <c r="R55" s="17">
        <f t="shared" si="4"/>
        <v>5538</v>
      </c>
      <c r="S55" s="18">
        <f t="shared" si="5"/>
        <v>962</v>
      </c>
      <c r="T55" s="24">
        <v>0</v>
      </c>
      <c r="U55" s="24">
        <v>0</v>
      </c>
      <c r="V55" s="19">
        <v>0</v>
      </c>
      <c r="W55" s="19">
        <f t="shared" si="6"/>
        <v>0</v>
      </c>
      <c r="X55" s="19"/>
      <c r="Y55" s="19">
        <f t="shared" si="16"/>
        <v>0</v>
      </c>
      <c r="Z55" s="24"/>
      <c r="AA55" s="21"/>
      <c r="AB55" s="18">
        <f t="shared" si="7"/>
        <v>0</v>
      </c>
      <c r="AC55" s="100">
        <f t="shared" si="8"/>
        <v>0</v>
      </c>
      <c r="AD55" s="109">
        <f t="shared" si="9"/>
        <v>-1017.5</v>
      </c>
      <c r="AE55" s="103"/>
      <c r="AF55" s="17"/>
      <c r="AG55" s="17"/>
      <c r="AH55" s="24">
        <f t="shared" si="10"/>
        <v>4634.5</v>
      </c>
      <c r="AI55" s="24">
        <f t="shared" si="15"/>
        <v>4634.5</v>
      </c>
      <c r="AJ55" s="15"/>
      <c r="AK55" s="15"/>
      <c r="AL55" s="15"/>
      <c r="AM55" s="15"/>
    </row>
    <row r="56" spans="1:39">
      <c r="A56" s="12" t="s">
        <v>96</v>
      </c>
      <c r="B56" s="17">
        <v>164</v>
      </c>
      <c r="C56" s="12">
        <v>164</v>
      </c>
      <c r="D56" s="17">
        <v>14</v>
      </c>
      <c r="E56" s="18">
        <v>8.536585365853659</v>
      </c>
      <c r="F56" s="24">
        <v>2489.5</v>
      </c>
      <c r="G56" s="17">
        <v>2490</v>
      </c>
      <c r="H56" s="17">
        <f t="shared" si="1"/>
        <v>4979.5</v>
      </c>
      <c r="I56" s="17">
        <v>3000</v>
      </c>
      <c r="J56" s="17">
        <f t="shared" si="2"/>
        <v>-1979.5</v>
      </c>
      <c r="K56" s="24">
        <v>48</v>
      </c>
      <c r="L56" s="24">
        <v>624</v>
      </c>
      <c r="M56" s="24">
        <v>8</v>
      </c>
      <c r="N56" s="24">
        <v>24.8</v>
      </c>
      <c r="O56" s="24">
        <v>648.79999999999995</v>
      </c>
      <c r="P56" s="18">
        <v>330.6</v>
      </c>
      <c r="Q56" s="18">
        <f t="shared" si="3"/>
        <v>979.4</v>
      </c>
      <c r="R56" s="17">
        <f t="shared" si="4"/>
        <v>2982</v>
      </c>
      <c r="S56" s="18">
        <f t="shared" si="5"/>
        <v>2002.6</v>
      </c>
      <c r="T56" s="24">
        <v>0</v>
      </c>
      <c r="U56" s="24">
        <v>0</v>
      </c>
      <c r="V56" s="19"/>
      <c r="W56" s="19">
        <f t="shared" si="6"/>
        <v>0</v>
      </c>
      <c r="X56" s="19"/>
      <c r="Y56" s="19">
        <f t="shared" si="16"/>
        <v>0</v>
      </c>
      <c r="Z56" s="24">
        <f>[2]Svømmetimetilskud!J12</f>
        <v>57.851439324133217</v>
      </c>
      <c r="AA56" s="32">
        <v>150.07911917088813</v>
      </c>
      <c r="AB56" s="18">
        <f t="shared" si="7"/>
        <v>207.93055849502136</v>
      </c>
      <c r="AC56" s="100">
        <f>AB56</f>
        <v>207.93055849502136</v>
      </c>
      <c r="AD56" s="109">
        <f t="shared" si="9"/>
        <v>231.03055849502127</v>
      </c>
      <c r="AE56" s="103"/>
      <c r="AF56" s="17"/>
      <c r="AG56" s="17"/>
      <c r="AH56" s="24">
        <f t="shared" si="10"/>
        <v>3138.3</v>
      </c>
      <c r="AI56" s="24">
        <f t="shared" si="15"/>
        <v>3138.3</v>
      </c>
      <c r="AJ56" s="15"/>
      <c r="AK56" s="15"/>
      <c r="AL56" s="15"/>
      <c r="AM56" s="15"/>
    </row>
    <row r="57" spans="1:39">
      <c r="A57" s="12" t="s">
        <v>97</v>
      </c>
      <c r="B57" s="17">
        <v>118</v>
      </c>
      <c r="C57" s="12">
        <v>89</v>
      </c>
      <c r="D57" s="17">
        <v>13</v>
      </c>
      <c r="E57" s="18">
        <v>11.0169491525424</v>
      </c>
      <c r="F57" s="24">
        <v>2489.5</v>
      </c>
      <c r="G57" s="17">
        <v>2490</v>
      </c>
      <c r="H57" s="17">
        <f t="shared" si="1"/>
        <v>4979.5</v>
      </c>
      <c r="I57" s="17">
        <v>3000</v>
      </c>
      <c r="J57" s="17">
        <f t="shared" si="2"/>
        <v>-1979.5</v>
      </c>
      <c r="K57" s="24">
        <v>60</v>
      </c>
      <c r="L57" s="24">
        <v>780</v>
      </c>
      <c r="M57" s="24">
        <v>18</v>
      </c>
      <c r="N57" s="24">
        <v>55.8</v>
      </c>
      <c r="O57" s="24">
        <v>835.8</v>
      </c>
      <c r="P57" s="18">
        <v>798.6</v>
      </c>
      <c r="Q57" s="18">
        <f t="shared" si="3"/>
        <v>1634.4</v>
      </c>
      <c r="R57" s="17">
        <f t="shared" si="4"/>
        <v>2769</v>
      </c>
      <c r="S57" s="18">
        <f t="shared" si="5"/>
        <v>1134.5999999999999</v>
      </c>
      <c r="T57" s="24">
        <v>0</v>
      </c>
      <c r="U57" s="24">
        <v>0</v>
      </c>
      <c r="V57" s="19">
        <v>0</v>
      </c>
      <c r="W57" s="19">
        <f t="shared" si="6"/>
        <v>0</v>
      </c>
      <c r="X57" s="19"/>
      <c r="Y57" s="19">
        <f t="shared" si="16"/>
        <v>0</v>
      </c>
      <c r="Z57" s="24"/>
      <c r="AA57" s="39"/>
      <c r="AB57" s="18">
        <f t="shared" si="7"/>
        <v>0</v>
      </c>
      <c r="AC57" s="100">
        <f t="shared" si="8"/>
        <v>0</v>
      </c>
      <c r="AD57" s="109">
        <f t="shared" si="9"/>
        <v>-844.90000000000009</v>
      </c>
      <c r="AE57" s="103"/>
      <c r="AF57" s="17"/>
      <c r="AG57" s="17"/>
      <c r="AH57" s="24">
        <f t="shared" si="10"/>
        <v>3325.3</v>
      </c>
      <c r="AI57" s="24">
        <f t="shared" si="15"/>
        <v>3325.3</v>
      </c>
      <c r="AJ57" s="15"/>
      <c r="AK57" s="15"/>
      <c r="AL57" s="15"/>
      <c r="AM57" s="15"/>
    </row>
    <row r="58" spans="1:39">
      <c r="A58" s="10" t="s">
        <v>98</v>
      </c>
      <c r="B58" s="11">
        <v>1139</v>
      </c>
      <c r="C58" s="12">
        <v>1181</v>
      </c>
      <c r="D58" s="11">
        <v>778</v>
      </c>
      <c r="E58" s="23">
        <v>68.305531167690958</v>
      </c>
      <c r="F58" s="12">
        <v>4980</v>
      </c>
      <c r="G58" s="17">
        <v>4980</v>
      </c>
      <c r="H58" s="17">
        <f t="shared" si="1"/>
        <v>9960</v>
      </c>
      <c r="I58" s="17">
        <f>'[2]Hovedfor. ens (3)'!I30</f>
        <v>18000</v>
      </c>
      <c r="J58" s="17">
        <f t="shared" si="2"/>
        <v>8040</v>
      </c>
      <c r="K58" s="10">
        <v>3522</v>
      </c>
      <c r="L58" s="10">
        <v>45786</v>
      </c>
      <c r="M58" s="10">
        <v>76</v>
      </c>
      <c r="N58" s="10">
        <v>235.6</v>
      </c>
      <c r="O58" s="10">
        <v>46021.599999999999</v>
      </c>
      <c r="P58" s="18">
        <v>44504</v>
      </c>
      <c r="Q58" s="18">
        <f t="shared" si="3"/>
        <v>90525.6</v>
      </c>
      <c r="R58" s="17">
        <f>'[2]Hovedfor. ens (3)'!R30</f>
        <v>165714</v>
      </c>
      <c r="S58" s="18">
        <f t="shared" si="5"/>
        <v>75188.399999999994</v>
      </c>
      <c r="T58" s="12">
        <v>889.5</v>
      </c>
      <c r="U58" s="12">
        <v>29353.5</v>
      </c>
      <c r="V58" s="19">
        <v>26581.5</v>
      </c>
      <c r="W58" s="19">
        <f t="shared" si="6"/>
        <v>55935</v>
      </c>
      <c r="X58" s="28">
        <f>'[2]Hovedfor. ens (3)'!W24</f>
        <v>1218.969696969697</v>
      </c>
      <c r="Y58" s="19">
        <f>-W58*Y4</f>
        <v>55935</v>
      </c>
      <c r="Z58" s="12"/>
      <c r="AA58" s="12"/>
      <c r="AB58" s="18">
        <f t="shared" si="7"/>
        <v>0</v>
      </c>
      <c r="AC58" s="100">
        <f t="shared" si="8"/>
        <v>0</v>
      </c>
      <c r="AD58" s="109">
        <f>J58+S58+Y58+AC58+AG58</f>
        <v>139163.4</v>
      </c>
      <c r="AE58" s="103">
        <f>E58</f>
        <v>68.305531167690958</v>
      </c>
      <c r="AF58" s="17">
        <f>X58*AE58/100</f>
        <v>832.62372628834453</v>
      </c>
      <c r="AG58" s="17">
        <f>AF58*AG4/AF60</f>
        <v>0</v>
      </c>
      <c r="AH58" s="24">
        <f t="shared" si="10"/>
        <v>51001.599999999999</v>
      </c>
      <c r="AI58" s="24">
        <f t="shared" si="15"/>
        <v>80355.100000000006</v>
      </c>
      <c r="AJ58" s="15"/>
      <c r="AK58" s="15"/>
      <c r="AL58" s="15"/>
      <c r="AM58" s="15"/>
    </row>
    <row r="59" spans="1:39">
      <c r="A59" s="12" t="s">
        <v>99</v>
      </c>
      <c r="B59" s="17">
        <v>350</v>
      </c>
      <c r="C59" s="12">
        <v>340</v>
      </c>
      <c r="D59" s="17">
        <v>220</v>
      </c>
      <c r="E59" s="18">
        <v>62.857142857142854</v>
      </c>
      <c r="F59" s="24">
        <v>4980</v>
      </c>
      <c r="G59" s="17">
        <v>4980</v>
      </c>
      <c r="H59" s="17">
        <f t="shared" si="1"/>
        <v>9960</v>
      </c>
      <c r="I59" s="17">
        <f>3000*7</f>
        <v>21000</v>
      </c>
      <c r="J59" s="17">
        <f t="shared" si="2"/>
        <v>11040</v>
      </c>
      <c r="K59" s="24">
        <v>1134</v>
      </c>
      <c r="L59" s="24">
        <v>14742</v>
      </c>
      <c r="M59" s="24">
        <v>26</v>
      </c>
      <c r="N59" s="24">
        <v>80.600000000000009</v>
      </c>
      <c r="O59" s="24">
        <v>14822.6</v>
      </c>
      <c r="P59" s="18">
        <v>16623.599999999999</v>
      </c>
      <c r="Q59" s="18">
        <f t="shared" si="3"/>
        <v>31446.199999999997</v>
      </c>
      <c r="R59" s="17">
        <f>'[2]Hovedfor. ens (3)'!R40</f>
        <v>50055</v>
      </c>
      <c r="S59" s="18">
        <f t="shared" si="5"/>
        <v>18608.800000000003</v>
      </c>
      <c r="T59" s="24">
        <v>405</v>
      </c>
      <c r="U59" s="24">
        <v>13365</v>
      </c>
      <c r="V59" s="19">
        <v>7194</v>
      </c>
      <c r="W59" s="19">
        <f t="shared" si="6"/>
        <v>20559</v>
      </c>
      <c r="X59" s="28">
        <f>'[2]Hovedfor. ens (3)'!W33+'[2]Hovedfor. ens (3)'!W34</f>
        <v>623</v>
      </c>
      <c r="Y59" s="19">
        <f>-W59*Y4</f>
        <v>20559</v>
      </c>
      <c r="Z59" s="24"/>
      <c r="AA59" s="12">
        <v>0</v>
      </c>
      <c r="AB59" s="18">
        <f t="shared" si="7"/>
        <v>0</v>
      </c>
      <c r="AC59" s="100">
        <f t="shared" si="8"/>
        <v>0</v>
      </c>
      <c r="AD59" s="109">
        <f>J59+S59+Y59+AC59+AG59</f>
        <v>50207.8</v>
      </c>
      <c r="AE59" s="103">
        <f>E59</f>
        <v>62.857142857142854</v>
      </c>
      <c r="AF59" s="17">
        <f>X59*AE59/100</f>
        <v>391.6</v>
      </c>
      <c r="AG59" s="17">
        <f>AF59*AG4/AF60</f>
        <v>0</v>
      </c>
      <c r="AH59" s="24">
        <f t="shared" si="10"/>
        <v>19802.599999999999</v>
      </c>
      <c r="AI59" s="24">
        <f t="shared" si="15"/>
        <v>33167.599999999999</v>
      </c>
      <c r="AJ59" s="15"/>
      <c r="AK59" s="15"/>
      <c r="AL59" s="15"/>
      <c r="AM59" s="15"/>
    </row>
    <row r="60" spans="1:39">
      <c r="A60" s="34" t="s">
        <v>101</v>
      </c>
      <c r="B60" s="14"/>
      <c r="C60" s="10"/>
      <c r="D60" s="13">
        <f>SUM(D5:D59)</f>
        <v>7676</v>
      </c>
      <c r="E60" s="23"/>
      <c r="F60" s="40">
        <f>SUM(F5:F59)</f>
        <v>146893.5</v>
      </c>
      <c r="G60" s="41">
        <f>SUM(G5:G59)</f>
        <v>141930</v>
      </c>
      <c r="H60" s="41">
        <f>SUM(H5:H59)</f>
        <v>288823.5</v>
      </c>
      <c r="I60" s="41">
        <f>SUM(I5:I59)</f>
        <v>213000</v>
      </c>
      <c r="J60" s="13">
        <f t="shared" si="2"/>
        <v>-75823.5</v>
      </c>
      <c r="K60" s="14"/>
      <c r="L60" s="14"/>
      <c r="M60" s="14"/>
      <c r="N60" s="14"/>
      <c r="O60" s="40">
        <f>SUM(O5:O59)</f>
        <v>471530.89999999991</v>
      </c>
      <c r="P60" s="42">
        <f>SUM(P5:P59)</f>
        <v>469351.89999999997</v>
      </c>
      <c r="Q60" s="42">
        <f>SUM(Q5:Q59)</f>
        <v>940882.7999999997</v>
      </c>
      <c r="R60" s="42">
        <f>SUM(R5:R59)</f>
        <v>1560651</v>
      </c>
      <c r="S60" s="42">
        <f>SUM(S5:S59)</f>
        <v>619768.2000000003</v>
      </c>
      <c r="T60" s="14"/>
      <c r="U60" s="40">
        <f t="shared" ref="U60" si="17">SUM(U5:U59)</f>
        <v>211851.75</v>
      </c>
      <c r="V60" s="42">
        <f>SUM(V5:V59)</f>
        <v>220324.5</v>
      </c>
      <c r="W60" s="42">
        <f>SUM(W5:W59)</f>
        <v>432176.25</v>
      </c>
      <c r="X60" s="42">
        <f>SUM(X5:X59)</f>
        <v>10148.71212121212</v>
      </c>
      <c r="Y60" s="43">
        <f>SUM(Y5:Y59)</f>
        <v>432176.25</v>
      </c>
      <c r="Z60" s="40">
        <f>SUM(Z6:Z59)</f>
        <v>94999.999999999985</v>
      </c>
      <c r="AA60" s="9">
        <f t="shared" ref="AA60:AD60" si="18">SUM(AA5:AA59)</f>
        <v>95000</v>
      </c>
      <c r="AB60" s="42">
        <f t="shared" si="18"/>
        <v>190000</v>
      </c>
      <c r="AC60" s="101">
        <f t="shared" si="18"/>
        <v>190000</v>
      </c>
      <c r="AD60" s="110">
        <f t="shared" si="18"/>
        <v>1166120.95</v>
      </c>
      <c r="AE60" s="104"/>
      <c r="AF60" s="13">
        <f>SUM(AF4:AF59)</f>
        <v>7557.8133661340844</v>
      </c>
      <c r="AG60" s="13">
        <f>SUM(AG5:AG59)</f>
        <v>0</v>
      </c>
      <c r="AH60" s="149">
        <f>SUM(AH5:AH59)</f>
        <v>604450.30000000005</v>
      </c>
      <c r="AI60" s="149">
        <f>SUM(AI5:AI59)</f>
        <v>816302.04999999993</v>
      </c>
      <c r="AJ60" s="15"/>
      <c r="AK60" s="15"/>
      <c r="AL60" s="15"/>
      <c r="AM60" s="15"/>
    </row>
    <row r="61" spans="1:39">
      <c r="A61" s="10"/>
      <c r="B61" s="14"/>
      <c r="C61" s="10"/>
      <c r="D61" s="14"/>
      <c r="E61" s="14"/>
      <c r="F61" s="14"/>
      <c r="G61" s="10"/>
      <c r="H61" s="10"/>
      <c r="I61" s="10"/>
      <c r="J61" s="17">
        <f t="shared" si="2"/>
        <v>0</v>
      </c>
      <c r="K61" s="14"/>
      <c r="L61" s="14"/>
      <c r="M61" s="14"/>
      <c r="N61" s="14"/>
      <c r="O61" s="14"/>
      <c r="P61" s="10"/>
      <c r="Q61" s="10"/>
      <c r="R61" s="12"/>
      <c r="S61" s="12"/>
      <c r="T61" s="14"/>
      <c r="U61" s="14"/>
      <c r="V61" s="10"/>
      <c r="W61" s="10"/>
      <c r="X61" s="10"/>
      <c r="Y61" s="10"/>
      <c r="Z61" s="14"/>
      <c r="AA61" s="12"/>
      <c r="AB61" s="12"/>
      <c r="AC61" s="73"/>
      <c r="AD61" s="107"/>
      <c r="AE61" s="68"/>
      <c r="AF61" s="12"/>
      <c r="AG61" s="12"/>
      <c r="AH61" s="149">
        <f>AH60-AH47-AH34-AH24-AH19-AH5</f>
        <v>577591.5</v>
      </c>
      <c r="AI61" s="149">
        <f>AI60-AI47-AI34-AI24-AI19-AI5</f>
        <v>788915.24999999988</v>
      </c>
      <c r="AJ61" s="15"/>
      <c r="AK61" s="15"/>
      <c r="AL61" s="15"/>
      <c r="AM61" s="15"/>
    </row>
    <row r="62" spans="1:39">
      <c r="Y62" s="45"/>
      <c r="AD62" s="111"/>
      <c r="AJ62" s="15"/>
      <c r="AK62" s="15"/>
      <c r="AL62" s="15"/>
      <c r="AM62" s="15"/>
    </row>
    <row r="63" spans="1:39" ht="93.75" customHeight="1">
      <c r="A63" s="89" t="s">
        <v>102</v>
      </c>
      <c r="B63" s="47" t="s">
        <v>103</v>
      </c>
      <c r="C63" s="48" t="s">
        <v>104</v>
      </c>
      <c r="D63" s="49" t="s">
        <v>105</v>
      </c>
      <c r="E63" s="48" t="s">
        <v>104</v>
      </c>
      <c r="F63" s="1" t="s">
        <v>106</v>
      </c>
      <c r="G63" s="1" t="s">
        <v>107</v>
      </c>
      <c r="H63" s="90" t="s">
        <v>108</v>
      </c>
      <c r="I63" s="3" t="s">
        <v>5</v>
      </c>
      <c r="J63" s="4" t="s">
        <v>6</v>
      </c>
      <c r="M63" s="50" t="s">
        <v>109</v>
      </c>
      <c r="O63" s="1" t="s">
        <v>8</v>
      </c>
      <c r="P63" s="1" t="s">
        <v>9</v>
      </c>
      <c r="Q63" s="90" t="s">
        <v>10</v>
      </c>
      <c r="R63" s="3" t="s">
        <v>11</v>
      </c>
      <c r="S63" s="4" t="s">
        <v>12</v>
      </c>
      <c r="Z63" s="51"/>
      <c r="AB63" s="45"/>
      <c r="AC63" s="16">
        <f>AG74/AD74</f>
        <v>-0.81205182352327365</v>
      </c>
      <c r="AD63" s="112" t="s">
        <v>21</v>
      </c>
      <c r="AE63" s="102" t="s">
        <v>110</v>
      </c>
      <c r="AF63" s="6">
        <v>0.2</v>
      </c>
      <c r="AG63" s="127" t="s">
        <v>178</v>
      </c>
      <c r="AJ63" s="126" t="s">
        <v>177</v>
      </c>
    </row>
    <row r="64" spans="1:39">
      <c r="A64" s="12" t="s">
        <v>111</v>
      </c>
      <c r="B64" s="52">
        <f>303/6</f>
        <v>50.5</v>
      </c>
      <c r="C64" s="53">
        <f>296/6</f>
        <v>49.333333333333336</v>
      </c>
      <c r="D64" s="10">
        <v>50</v>
      </c>
      <c r="E64" s="23">
        <v>70.422535211267601</v>
      </c>
      <c r="F64" s="54">
        <v>3148</v>
      </c>
      <c r="G64" s="11">
        <v>3148</v>
      </c>
      <c r="H64" s="55">
        <f>F64+G64</f>
        <v>6296</v>
      </c>
      <c r="I64" s="136">
        <v>3000</v>
      </c>
      <c r="J64" s="55">
        <f>I64-H64</f>
        <v>-3296</v>
      </c>
      <c r="O64" s="56">
        <v>9659.64</v>
      </c>
      <c r="P64" s="57">
        <v>7015.2</v>
      </c>
      <c r="Q64" s="14">
        <f>O64+P64</f>
        <v>16674.84</v>
      </c>
      <c r="R64" s="17">
        <f>213*D64</f>
        <v>10650</v>
      </c>
      <c r="S64" s="17">
        <f>R64-Q64</f>
        <v>-6024.84</v>
      </c>
      <c r="AD64" s="134">
        <f>J64+S64</f>
        <v>-9320.84</v>
      </c>
      <c r="AE64" s="141">
        <f>AF63*AD64</f>
        <v>-1864.1680000000001</v>
      </c>
      <c r="AF64" s="58"/>
      <c r="AG64" s="125">
        <f t="shared" ref="AG64:AG73" si="19">AC$63*AD64</f>
        <v>7569.0051187686704</v>
      </c>
      <c r="AH64" s="10"/>
      <c r="AI64" s="10"/>
      <c r="AJ64" s="122">
        <f>AD64+AG64</f>
        <v>-1751.8348812313297</v>
      </c>
    </row>
    <row r="65" spans="1:36">
      <c r="A65" s="60" t="s">
        <v>112</v>
      </c>
      <c r="B65" s="52">
        <f>660/6</f>
        <v>110</v>
      </c>
      <c r="C65" s="53">
        <f>738/6</f>
        <v>123</v>
      </c>
      <c r="D65" s="10">
        <v>123</v>
      </c>
      <c r="E65" s="23">
        <v>79.870129870129873</v>
      </c>
      <c r="F65" s="54">
        <v>3148</v>
      </c>
      <c r="G65" s="11">
        <v>3148</v>
      </c>
      <c r="H65" s="55">
        <f t="shared" ref="H65:H73" si="20">F65+G65</f>
        <v>6296</v>
      </c>
      <c r="I65" s="136">
        <v>3000</v>
      </c>
      <c r="J65" s="55">
        <f t="shared" ref="J65:J73" si="21">I65-H65</f>
        <v>-3296</v>
      </c>
      <c r="O65" s="56">
        <v>21040.799999999999</v>
      </c>
      <c r="P65" s="57">
        <v>17490.599999999999</v>
      </c>
      <c r="Q65" s="14">
        <f t="shared" ref="Q65:Q73" si="22">O65+P65</f>
        <v>38531.399999999994</v>
      </c>
      <c r="R65" s="17">
        <f t="shared" ref="R65:R73" si="23">213*D65</f>
        <v>26199</v>
      </c>
      <c r="S65" s="17">
        <f t="shared" ref="S65:S73" si="24">R65-Q65</f>
        <v>-12332.399999999994</v>
      </c>
      <c r="AD65" s="134">
        <f t="shared" ref="AD65:AD74" si="25">J65+S65</f>
        <v>-15628.399999999994</v>
      </c>
      <c r="AE65" s="141">
        <f>AF63*AD65</f>
        <v>-3125.6799999999989</v>
      </c>
      <c r="AF65" s="58"/>
      <c r="AG65" s="125">
        <f t="shared" si="19"/>
        <v>12691.070718751125</v>
      </c>
      <c r="AH65" s="10"/>
      <c r="AI65" s="10"/>
      <c r="AJ65" s="122">
        <f t="shared" ref="AJ65:AJ74" si="26">AD65+AG65</f>
        <v>-2937.3292812488689</v>
      </c>
    </row>
    <row r="66" spans="1:36">
      <c r="A66" s="12" t="s">
        <v>113</v>
      </c>
      <c r="B66" s="52">
        <f>168/6</f>
        <v>28</v>
      </c>
      <c r="C66" s="53">
        <f>153/6</f>
        <v>25.5</v>
      </c>
      <c r="D66" s="10">
        <v>28</v>
      </c>
      <c r="E66" s="23">
        <v>58.333333333333336</v>
      </c>
      <c r="F66" s="54">
        <v>3148</v>
      </c>
      <c r="G66" s="11">
        <v>3148</v>
      </c>
      <c r="H66" s="55">
        <f t="shared" si="20"/>
        <v>6296</v>
      </c>
      <c r="I66" s="136">
        <v>3000</v>
      </c>
      <c r="J66" s="55">
        <f t="shared" si="21"/>
        <v>-3296</v>
      </c>
      <c r="O66" s="56">
        <v>5355.84</v>
      </c>
      <c r="P66" s="57">
        <v>3626.1</v>
      </c>
      <c r="Q66" s="14">
        <f t="shared" si="22"/>
        <v>8981.94</v>
      </c>
      <c r="R66" s="17">
        <f t="shared" si="23"/>
        <v>5964</v>
      </c>
      <c r="S66" s="17">
        <f t="shared" si="24"/>
        <v>-3017.9400000000005</v>
      </c>
      <c r="AD66" s="134">
        <f t="shared" si="25"/>
        <v>-6313.9400000000005</v>
      </c>
      <c r="AE66" s="141">
        <f>AF63*AD66</f>
        <v>-1262.7880000000002</v>
      </c>
      <c r="AF66" s="58"/>
      <c r="AG66" s="125">
        <f t="shared" si="19"/>
        <v>5127.2464906165387</v>
      </c>
      <c r="AH66" s="10"/>
      <c r="AI66" s="10"/>
      <c r="AJ66" s="122">
        <f t="shared" si="26"/>
        <v>-1186.6935093834618</v>
      </c>
    </row>
    <row r="67" spans="1:36">
      <c r="A67" s="12" t="s">
        <v>114</v>
      </c>
      <c r="B67" s="52">
        <f>496/6</f>
        <v>82.666666666666671</v>
      </c>
      <c r="C67" s="53">
        <f>436/6</f>
        <v>72.666666666666671</v>
      </c>
      <c r="D67" s="10">
        <v>68</v>
      </c>
      <c r="E67" s="23">
        <v>76.404494382022463</v>
      </c>
      <c r="F67" s="54">
        <v>3148</v>
      </c>
      <c r="G67" s="11">
        <v>3148</v>
      </c>
      <c r="H67" s="55">
        <f t="shared" si="20"/>
        <v>6296</v>
      </c>
      <c r="I67" s="136">
        <v>3000</v>
      </c>
      <c r="J67" s="55">
        <f t="shared" si="21"/>
        <v>-3296</v>
      </c>
      <c r="O67" s="56">
        <v>15812.48</v>
      </c>
      <c r="P67" s="57">
        <v>10333.199999999999</v>
      </c>
      <c r="Q67" s="14">
        <f t="shared" si="22"/>
        <v>26145.68</v>
      </c>
      <c r="R67" s="17">
        <f t="shared" si="23"/>
        <v>14484</v>
      </c>
      <c r="S67" s="17">
        <f t="shared" si="24"/>
        <v>-11661.68</v>
      </c>
      <c r="AD67" s="134">
        <f t="shared" si="25"/>
        <v>-14957.68</v>
      </c>
      <c r="AE67" s="141">
        <f>AF63*AD67</f>
        <v>-2991.5360000000001</v>
      </c>
      <c r="AF67" s="58"/>
      <c r="AG67" s="125">
        <f t="shared" si="19"/>
        <v>12146.4113196776</v>
      </c>
      <c r="AH67" s="10"/>
      <c r="AI67" s="10"/>
      <c r="AJ67" s="122">
        <f t="shared" si="26"/>
        <v>-2811.2686803224005</v>
      </c>
    </row>
    <row r="68" spans="1:36">
      <c r="A68" s="60" t="s">
        <v>115</v>
      </c>
      <c r="B68" s="52">
        <f>228/6</f>
        <v>38</v>
      </c>
      <c r="C68" s="53">
        <f>164/6</f>
        <v>27.333333333333332</v>
      </c>
      <c r="D68" s="10">
        <v>29</v>
      </c>
      <c r="E68" s="23">
        <v>76.31578947368422</v>
      </c>
      <c r="F68" s="54">
        <v>3148</v>
      </c>
      <c r="G68" s="11">
        <v>3148</v>
      </c>
      <c r="H68" s="55">
        <f t="shared" si="20"/>
        <v>6296</v>
      </c>
      <c r="I68" s="136">
        <v>3000</v>
      </c>
      <c r="J68" s="55">
        <f t="shared" si="21"/>
        <v>-3296</v>
      </c>
      <c r="O68" s="56">
        <v>7268.6399999999994</v>
      </c>
      <c r="P68" s="57">
        <v>3886.7999999999997</v>
      </c>
      <c r="Q68" s="14">
        <f t="shared" si="22"/>
        <v>11155.439999999999</v>
      </c>
      <c r="R68" s="17">
        <f t="shared" si="23"/>
        <v>6177</v>
      </c>
      <c r="S68" s="17">
        <f t="shared" si="24"/>
        <v>-4978.4399999999987</v>
      </c>
      <c r="AD68" s="134">
        <f t="shared" si="25"/>
        <v>-8274.4399999999987</v>
      </c>
      <c r="AE68" s="141">
        <f>AF63*AD68</f>
        <v>-1654.8879999999999</v>
      </c>
      <c r="AF68" s="58"/>
      <c r="AG68" s="125">
        <f t="shared" si="19"/>
        <v>6719.274090633915</v>
      </c>
      <c r="AH68" s="10"/>
      <c r="AI68" s="10"/>
      <c r="AJ68" s="122">
        <f t="shared" si="26"/>
        <v>-1555.1659093660837</v>
      </c>
    </row>
    <row r="69" spans="1:36">
      <c r="A69" s="12" t="s">
        <v>116</v>
      </c>
      <c r="B69" s="52">
        <f>150/6</f>
        <v>25</v>
      </c>
      <c r="C69" s="53">
        <f>187/6</f>
        <v>31.166666666666668</v>
      </c>
      <c r="D69" s="10">
        <v>27</v>
      </c>
      <c r="E69" s="23">
        <v>75</v>
      </c>
      <c r="F69" s="54">
        <v>3148</v>
      </c>
      <c r="G69" s="11">
        <v>3148</v>
      </c>
      <c r="H69" s="55">
        <f t="shared" si="20"/>
        <v>6296</v>
      </c>
      <c r="I69" s="136">
        <v>3000</v>
      </c>
      <c r="J69" s="55">
        <f t="shared" si="21"/>
        <v>-3296</v>
      </c>
      <c r="O69" s="56">
        <v>4782</v>
      </c>
      <c r="P69" s="57">
        <v>4431.8999999999996</v>
      </c>
      <c r="Q69" s="14">
        <f t="shared" si="22"/>
        <v>9213.9</v>
      </c>
      <c r="R69" s="17">
        <f t="shared" si="23"/>
        <v>5751</v>
      </c>
      <c r="S69" s="17">
        <f t="shared" si="24"/>
        <v>-3462.8999999999996</v>
      </c>
      <c r="AD69" s="134">
        <f t="shared" si="25"/>
        <v>-6758.9</v>
      </c>
      <c r="AE69" s="141">
        <f>AF63*AD69</f>
        <v>-1351.78</v>
      </c>
      <c r="AF69" s="58"/>
      <c r="AG69" s="125">
        <f t="shared" si="19"/>
        <v>5488.5770700114535</v>
      </c>
      <c r="AH69" s="10"/>
      <c r="AI69" s="10"/>
      <c r="AJ69" s="122">
        <f t="shared" si="26"/>
        <v>-1270.3229299885461</v>
      </c>
    </row>
    <row r="70" spans="1:36">
      <c r="A70" s="12" t="s">
        <v>117</v>
      </c>
      <c r="B70" s="52">
        <f>372/6</f>
        <v>62</v>
      </c>
      <c r="C70" s="10">
        <f>378/6</f>
        <v>63</v>
      </c>
      <c r="D70" s="10">
        <v>63</v>
      </c>
      <c r="E70" s="23">
        <v>84</v>
      </c>
      <c r="F70" s="54">
        <v>3148</v>
      </c>
      <c r="G70" s="11">
        <v>3148</v>
      </c>
      <c r="H70" s="55">
        <f t="shared" si="20"/>
        <v>6296</v>
      </c>
      <c r="I70" s="136">
        <v>3000</v>
      </c>
      <c r="J70" s="55">
        <f t="shared" si="21"/>
        <v>-3296</v>
      </c>
      <c r="O70" s="56">
        <v>11859.359999999999</v>
      </c>
      <c r="P70" s="57">
        <v>8958.6</v>
      </c>
      <c r="Q70" s="14">
        <f t="shared" si="22"/>
        <v>20817.96</v>
      </c>
      <c r="R70" s="17">
        <f t="shared" si="23"/>
        <v>13419</v>
      </c>
      <c r="S70" s="17">
        <f t="shared" si="24"/>
        <v>-7398.9599999999991</v>
      </c>
      <c r="AD70" s="134">
        <f t="shared" si="25"/>
        <v>-10694.96</v>
      </c>
      <c r="AE70" s="141">
        <f>AF63*AD70</f>
        <v>-2138.9919999999997</v>
      </c>
      <c r="AF70" s="58"/>
      <c r="AG70" s="125">
        <f t="shared" si="19"/>
        <v>8684.8617705084707</v>
      </c>
      <c r="AH70" s="10"/>
      <c r="AI70" s="10"/>
      <c r="AJ70" s="122">
        <f t="shared" si="26"/>
        <v>-2010.0982294915284</v>
      </c>
    </row>
    <row r="71" spans="1:36">
      <c r="A71" s="12" t="s">
        <v>118</v>
      </c>
      <c r="B71" s="52">
        <f>363/6</f>
        <v>60.5</v>
      </c>
      <c r="C71" s="53">
        <f>348/6</f>
        <v>58</v>
      </c>
      <c r="D71" s="10">
        <v>62</v>
      </c>
      <c r="E71" s="23">
        <v>88.571428571428569</v>
      </c>
      <c r="F71" s="54">
        <v>3148</v>
      </c>
      <c r="G71" s="11">
        <v>3148</v>
      </c>
      <c r="H71" s="55">
        <f t="shared" si="20"/>
        <v>6296</v>
      </c>
      <c r="I71" s="136">
        <v>3000</v>
      </c>
      <c r="J71" s="55">
        <f t="shared" si="21"/>
        <v>-3296</v>
      </c>
      <c r="O71" s="56">
        <v>11572.44</v>
      </c>
      <c r="P71" s="57">
        <v>8247.6</v>
      </c>
      <c r="Q71" s="14">
        <f t="shared" si="22"/>
        <v>19820.04</v>
      </c>
      <c r="R71" s="17">
        <f t="shared" si="23"/>
        <v>13206</v>
      </c>
      <c r="S71" s="17">
        <f t="shared" si="24"/>
        <v>-6614.0400000000009</v>
      </c>
      <c r="AD71" s="134">
        <f t="shared" si="25"/>
        <v>-9910.0400000000009</v>
      </c>
      <c r="AE71" s="141">
        <f>AF63*AD71</f>
        <v>-1982.0080000000003</v>
      </c>
      <c r="AF71" s="58"/>
      <c r="AG71" s="125">
        <f t="shared" si="19"/>
        <v>8047.4660531885838</v>
      </c>
      <c r="AH71" s="10"/>
      <c r="AI71" s="10"/>
      <c r="AJ71" s="122">
        <f t="shared" si="26"/>
        <v>-1862.573946811417</v>
      </c>
    </row>
    <row r="72" spans="1:36">
      <c r="A72" s="12" t="s">
        <v>119</v>
      </c>
      <c r="B72" s="52">
        <f>394/6</f>
        <v>65.666666666666671</v>
      </c>
      <c r="C72" s="53">
        <f>381/6</f>
        <v>63.5</v>
      </c>
      <c r="D72" s="10">
        <v>67</v>
      </c>
      <c r="E72" s="23">
        <v>84.810126582278471</v>
      </c>
      <c r="F72" s="54">
        <v>3148</v>
      </c>
      <c r="G72" s="11">
        <v>3148</v>
      </c>
      <c r="H72" s="55">
        <f t="shared" si="20"/>
        <v>6296</v>
      </c>
      <c r="I72" s="136">
        <v>3000</v>
      </c>
      <c r="J72" s="55">
        <f t="shared" si="21"/>
        <v>-3296</v>
      </c>
      <c r="O72" s="56">
        <v>12560.72</v>
      </c>
      <c r="P72" s="57">
        <v>9029.6999999999989</v>
      </c>
      <c r="Q72" s="14">
        <f t="shared" si="22"/>
        <v>21590.42</v>
      </c>
      <c r="R72" s="17">
        <f t="shared" si="23"/>
        <v>14271</v>
      </c>
      <c r="S72" s="17">
        <f t="shared" si="24"/>
        <v>-7319.4199999999983</v>
      </c>
      <c r="AD72" s="134">
        <f t="shared" si="25"/>
        <v>-10615.419999999998</v>
      </c>
      <c r="AE72" s="141">
        <f>AF63*AD72</f>
        <v>-2123.0839999999998</v>
      </c>
      <c r="AF72" s="58"/>
      <c r="AG72" s="125">
        <f t="shared" si="19"/>
        <v>8620.2711684654278</v>
      </c>
      <c r="AH72" s="10"/>
      <c r="AI72" s="10"/>
      <c r="AJ72" s="122">
        <f t="shared" si="26"/>
        <v>-1995.1488315345705</v>
      </c>
    </row>
    <row r="73" spans="1:36">
      <c r="A73" s="12" t="s">
        <v>120</v>
      </c>
      <c r="B73" s="52">
        <f>172/6</f>
        <v>28.666666666666668</v>
      </c>
      <c r="C73" s="53">
        <f>217/6</f>
        <v>36.166666666666664</v>
      </c>
      <c r="D73" s="10">
        <v>37</v>
      </c>
      <c r="E73" s="23">
        <v>100</v>
      </c>
      <c r="F73" s="54">
        <v>3148</v>
      </c>
      <c r="G73" s="11">
        <v>3148</v>
      </c>
      <c r="H73" s="55">
        <f t="shared" si="20"/>
        <v>6296</v>
      </c>
      <c r="I73" s="136">
        <v>3000</v>
      </c>
      <c r="J73" s="55">
        <f t="shared" si="21"/>
        <v>-3296</v>
      </c>
      <c r="O73" s="56">
        <v>5483.36</v>
      </c>
      <c r="P73" s="57">
        <v>5142.8999999999996</v>
      </c>
      <c r="Q73" s="14">
        <f t="shared" si="22"/>
        <v>10626.259999999998</v>
      </c>
      <c r="R73" s="17">
        <f t="shared" si="23"/>
        <v>7881</v>
      </c>
      <c r="S73" s="17">
        <f t="shared" si="24"/>
        <v>-2745.2599999999984</v>
      </c>
      <c r="T73" t="s">
        <v>121</v>
      </c>
      <c r="AD73" s="134">
        <f t="shared" si="25"/>
        <v>-6041.2599999999984</v>
      </c>
      <c r="AE73" s="141">
        <f>AF63*AD73</f>
        <v>-1208.2519999999997</v>
      </c>
      <c r="AF73" s="58"/>
      <c r="AG73" s="125">
        <f t="shared" si="19"/>
        <v>4905.8161993782105</v>
      </c>
      <c r="AH73" s="10"/>
      <c r="AI73" s="10"/>
      <c r="AJ73" s="122">
        <f t="shared" si="26"/>
        <v>-1135.4438006217879</v>
      </c>
    </row>
    <row r="74" spans="1:36">
      <c r="A74" s="9" t="s">
        <v>101</v>
      </c>
      <c r="B74" s="10"/>
      <c r="C74" s="10"/>
      <c r="D74" s="9">
        <f>SUM(D64:D73)</f>
        <v>554</v>
      </c>
      <c r="E74" s="10"/>
      <c r="F74" s="40">
        <f>SUM(F64:F73)</f>
        <v>31480</v>
      </c>
      <c r="G74" s="10"/>
      <c r="H74" s="41">
        <f>SUM(H64:H73)</f>
        <v>62960</v>
      </c>
      <c r="I74" s="13">
        <f>SUM(I64:I73)</f>
        <v>30000</v>
      </c>
      <c r="J74" s="41">
        <f>SUM(J64:J73)</f>
        <v>-32960</v>
      </c>
      <c r="O74" s="61">
        <f>SUM(O64:O73)</f>
        <v>105395.28</v>
      </c>
      <c r="P74" s="62">
        <f>SUM(P64:P73)</f>
        <v>78162.599999999991</v>
      </c>
      <c r="Q74" s="40">
        <f>SUM(Q64:Q73)</f>
        <v>183557.88</v>
      </c>
      <c r="R74" s="41">
        <f>SUM(R64:R73)</f>
        <v>118002</v>
      </c>
      <c r="S74" s="41">
        <f>SUM(S64:S73)</f>
        <v>-65555.87999999999</v>
      </c>
      <c r="T74" s="63">
        <f>J74+S74</f>
        <v>-98515.87999999999</v>
      </c>
      <c r="Y74" s="63"/>
      <c r="AD74" s="41">
        <f t="shared" si="25"/>
        <v>-98515.87999999999</v>
      </c>
      <c r="AE74" s="105">
        <f>SUM(AE64:AE73)</f>
        <v>-19703.175999999999</v>
      </c>
      <c r="AF74" s="41">
        <f>AD74-AE74</f>
        <v>-78812.703999999998</v>
      </c>
      <c r="AG74" s="64">
        <v>80000</v>
      </c>
      <c r="AH74" s="10"/>
      <c r="AI74" s="10"/>
      <c r="AJ74" s="122">
        <f t="shared" si="26"/>
        <v>-18515.87999999999</v>
      </c>
    </row>
    <row r="75" spans="1:36">
      <c r="AD75" s="16"/>
    </row>
    <row r="76" spans="1:36" ht="18.75">
      <c r="A76" s="88" t="s">
        <v>122</v>
      </c>
      <c r="D76" s="92"/>
      <c r="AD76" s="16"/>
    </row>
    <row r="77" spans="1:36">
      <c r="A77" s="65" t="s">
        <v>123</v>
      </c>
      <c r="B77" s="10">
        <v>46</v>
      </c>
      <c r="C77" s="10"/>
      <c r="D77" s="10">
        <v>45</v>
      </c>
      <c r="E77" s="23">
        <v>97.826086956521735</v>
      </c>
      <c r="F77" s="11">
        <v>2000</v>
      </c>
      <c r="G77" s="137">
        <v>2700</v>
      </c>
      <c r="H77" s="55">
        <f>F77+G77</f>
        <v>4700</v>
      </c>
      <c r="I77" s="136">
        <v>3000</v>
      </c>
      <c r="J77" s="55">
        <f>I77-H77</f>
        <v>-1700</v>
      </c>
      <c r="O77" s="23">
        <v>2710</v>
      </c>
      <c r="P77" s="10">
        <v>5315.7</v>
      </c>
      <c r="Q77" s="133">
        <f>O77+P77</f>
        <v>8025.7</v>
      </c>
      <c r="R77" s="17">
        <f>213*D77</f>
        <v>9585</v>
      </c>
      <c r="S77" s="17">
        <f>R77-Q77</f>
        <v>1559.3000000000002</v>
      </c>
      <c r="AD77" s="122">
        <f>J77+S77</f>
        <v>-140.69999999999982</v>
      </c>
      <c r="AE77" s="66"/>
      <c r="AF77" s="122"/>
      <c r="AG77" s="96"/>
    </row>
    <row r="78" spans="1:36">
      <c r="A78" s="70" t="s">
        <v>124</v>
      </c>
      <c r="B78" s="12"/>
      <c r="C78" s="10"/>
      <c r="D78" s="12"/>
      <c r="E78" s="18"/>
      <c r="F78" s="11"/>
      <c r="G78" s="138">
        <v>0</v>
      </c>
      <c r="H78" s="55">
        <f t="shared" ref="H78:H90" si="27">F78+G78</f>
        <v>0</v>
      </c>
      <c r="I78" s="136">
        <v>0</v>
      </c>
      <c r="J78" s="55">
        <f t="shared" ref="J78:J90" si="28">I78-H78</f>
        <v>0</v>
      </c>
      <c r="O78" s="23"/>
      <c r="P78" s="10">
        <v>0</v>
      </c>
      <c r="Q78" s="133">
        <f t="shared" ref="Q78:Q90" si="29">O78+P78</f>
        <v>0</v>
      </c>
      <c r="R78" s="17">
        <f t="shared" ref="R78:R90" si="30">213*D78</f>
        <v>0</v>
      </c>
      <c r="S78" s="17">
        <f t="shared" ref="S78:S90" si="31">R78-Q78</f>
        <v>0</v>
      </c>
      <c r="AD78" s="113">
        <f t="shared" ref="AD78:AD90" si="32">J78+S78</f>
        <v>0</v>
      </c>
      <c r="AE78" s="66"/>
      <c r="AF78" s="122"/>
      <c r="AG78" s="96"/>
    </row>
    <row r="79" spans="1:36">
      <c r="A79" s="67" t="s">
        <v>125</v>
      </c>
      <c r="B79" s="12">
        <v>23</v>
      </c>
      <c r="C79" s="10">
        <v>20</v>
      </c>
      <c r="D79" s="12">
        <v>34</v>
      </c>
      <c r="E79" s="18">
        <v>147.82608695652172</v>
      </c>
      <c r="F79" s="17">
        <v>2000</v>
      </c>
      <c r="G79" s="139">
        <v>2700</v>
      </c>
      <c r="H79" s="55">
        <f t="shared" si="27"/>
        <v>4700</v>
      </c>
      <c r="I79" s="136">
        <v>3000</v>
      </c>
      <c r="J79" s="55">
        <f t="shared" si="28"/>
        <v>-1700</v>
      </c>
      <c r="O79" s="18">
        <v>0</v>
      </c>
      <c r="P79" s="10">
        <v>0</v>
      </c>
      <c r="Q79" s="133">
        <f t="shared" si="29"/>
        <v>0</v>
      </c>
      <c r="R79" s="17">
        <f t="shared" si="30"/>
        <v>7242</v>
      </c>
      <c r="S79" s="17">
        <f t="shared" si="31"/>
        <v>7242</v>
      </c>
      <c r="AD79" s="113">
        <f t="shared" si="32"/>
        <v>5542</v>
      </c>
      <c r="AE79" s="66"/>
      <c r="AF79" s="122"/>
      <c r="AG79" s="96"/>
    </row>
    <row r="80" spans="1:36">
      <c r="A80" s="67" t="s">
        <v>126</v>
      </c>
      <c r="B80" s="10">
        <v>52</v>
      </c>
      <c r="C80" s="10">
        <v>52</v>
      </c>
      <c r="D80" s="10">
        <v>38</v>
      </c>
      <c r="E80" s="23">
        <v>73.076923076923066</v>
      </c>
      <c r="F80" s="11">
        <v>2000</v>
      </c>
      <c r="G80" s="139">
        <v>2700</v>
      </c>
      <c r="H80" s="55">
        <f t="shared" si="27"/>
        <v>4700</v>
      </c>
      <c r="I80" s="136">
        <v>3000</v>
      </c>
      <c r="J80" s="55">
        <f t="shared" si="28"/>
        <v>-1700</v>
      </c>
      <c r="O80" s="23">
        <v>0</v>
      </c>
      <c r="P80" s="12">
        <v>4524</v>
      </c>
      <c r="Q80" s="133">
        <f t="shared" si="29"/>
        <v>4524</v>
      </c>
      <c r="R80" s="17">
        <f t="shared" si="30"/>
        <v>8094</v>
      </c>
      <c r="S80" s="17">
        <f t="shared" si="31"/>
        <v>3570</v>
      </c>
      <c r="AD80" s="113">
        <f t="shared" si="32"/>
        <v>1870</v>
      </c>
      <c r="AE80" s="66"/>
      <c r="AF80" s="122"/>
      <c r="AG80" s="96"/>
    </row>
    <row r="81" spans="1:33">
      <c r="A81" s="69" t="s">
        <v>127</v>
      </c>
      <c r="B81" s="10">
        <v>10</v>
      </c>
      <c r="C81" s="10">
        <v>10</v>
      </c>
      <c r="D81" s="10">
        <v>10</v>
      </c>
      <c r="E81" s="23">
        <v>100</v>
      </c>
      <c r="F81" s="11">
        <v>2000</v>
      </c>
      <c r="G81" s="139">
        <v>2700</v>
      </c>
      <c r="H81" s="55">
        <f t="shared" si="27"/>
        <v>4700</v>
      </c>
      <c r="I81" s="136">
        <v>3000</v>
      </c>
      <c r="J81" s="55">
        <f t="shared" si="28"/>
        <v>-1700</v>
      </c>
      <c r="O81" s="23">
        <v>942.50000000000011</v>
      </c>
      <c r="P81" s="12">
        <v>1131</v>
      </c>
      <c r="Q81" s="133">
        <f t="shared" si="29"/>
        <v>2073.5</v>
      </c>
      <c r="R81" s="17">
        <f t="shared" si="30"/>
        <v>2130</v>
      </c>
      <c r="S81" s="17">
        <f t="shared" si="31"/>
        <v>56.5</v>
      </c>
      <c r="AD81" s="113">
        <f t="shared" si="32"/>
        <v>-1643.5</v>
      </c>
      <c r="AE81" s="66"/>
      <c r="AF81" s="122"/>
      <c r="AG81" s="96"/>
    </row>
    <row r="82" spans="1:33">
      <c r="A82" s="65" t="s">
        <v>128</v>
      </c>
      <c r="B82" s="10">
        <v>20</v>
      </c>
      <c r="C82" s="10">
        <v>23</v>
      </c>
      <c r="D82" s="10">
        <v>19</v>
      </c>
      <c r="E82" s="23">
        <v>95</v>
      </c>
      <c r="F82" s="11">
        <v>2000</v>
      </c>
      <c r="G82" s="139">
        <v>2700</v>
      </c>
      <c r="H82" s="55">
        <f t="shared" si="27"/>
        <v>4700</v>
      </c>
      <c r="I82" s="136">
        <v>3000</v>
      </c>
      <c r="J82" s="55">
        <f t="shared" si="28"/>
        <v>-1700</v>
      </c>
      <c r="O82" s="23">
        <v>1140</v>
      </c>
      <c r="P82" s="12">
        <v>2601.3000000000002</v>
      </c>
      <c r="Q82" s="133">
        <f t="shared" si="29"/>
        <v>3741.3</v>
      </c>
      <c r="R82" s="17">
        <f t="shared" si="30"/>
        <v>4047</v>
      </c>
      <c r="S82" s="17">
        <f t="shared" si="31"/>
        <v>305.69999999999982</v>
      </c>
      <c r="AD82" s="113">
        <f t="shared" si="32"/>
        <v>-1394.3000000000002</v>
      </c>
      <c r="AE82" s="66"/>
      <c r="AF82" s="122"/>
      <c r="AG82" s="96"/>
    </row>
    <row r="83" spans="1:33">
      <c r="A83" s="70" t="s">
        <v>129</v>
      </c>
      <c r="B83" s="10">
        <v>71</v>
      </c>
      <c r="C83" s="10">
        <v>71</v>
      </c>
      <c r="D83" s="10">
        <v>62</v>
      </c>
      <c r="E83" s="23">
        <v>87.323943661971825</v>
      </c>
      <c r="F83" s="11">
        <v>0</v>
      </c>
      <c r="G83" s="139">
        <v>2700</v>
      </c>
      <c r="H83" s="55">
        <f t="shared" si="27"/>
        <v>2700</v>
      </c>
      <c r="I83" s="136">
        <v>3000</v>
      </c>
      <c r="J83" s="55">
        <f t="shared" si="28"/>
        <v>300</v>
      </c>
      <c r="O83" s="23">
        <v>7012.2000000000007</v>
      </c>
      <c r="P83" s="12">
        <v>7012.2</v>
      </c>
      <c r="Q83" s="133">
        <f t="shared" si="29"/>
        <v>14024.400000000001</v>
      </c>
      <c r="R83" s="17">
        <f t="shared" si="30"/>
        <v>13206</v>
      </c>
      <c r="S83" s="17">
        <f t="shared" si="31"/>
        <v>-818.40000000000146</v>
      </c>
      <c r="AD83" s="113">
        <f t="shared" si="32"/>
        <v>-518.40000000000146</v>
      </c>
      <c r="AE83" s="66"/>
      <c r="AF83" s="122"/>
      <c r="AG83" s="96"/>
    </row>
    <row r="84" spans="1:33">
      <c r="A84" s="70" t="s">
        <v>130</v>
      </c>
      <c r="B84" s="10">
        <v>0</v>
      </c>
      <c r="C84" s="10">
        <v>170</v>
      </c>
      <c r="D84" s="10">
        <f>822/6</f>
        <v>137</v>
      </c>
      <c r="E84" s="23"/>
      <c r="F84" s="11">
        <v>2000</v>
      </c>
      <c r="G84" s="139">
        <v>2700</v>
      </c>
      <c r="H84" s="55">
        <f t="shared" si="27"/>
        <v>4700</v>
      </c>
      <c r="I84" s="136">
        <v>3000</v>
      </c>
      <c r="J84" s="55">
        <f t="shared" si="28"/>
        <v>-1700</v>
      </c>
      <c r="O84" s="23">
        <v>8220</v>
      </c>
      <c r="P84" s="12">
        <v>15494.7</v>
      </c>
      <c r="Q84" s="133">
        <f t="shared" si="29"/>
        <v>23714.7</v>
      </c>
      <c r="R84" s="17">
        <f t="shared" si="30"/>
        <v>29181</v>
      </c>
      <c r="S84" s="17">
        <f t="shared" si="31"/>
        <v>5466.2999999999993</v>
      </c>
      <c r="AD84" s="113">
        <f t="shared" si="32"/>
        <v>3766.2999999999993</v>
      </c>
      <c r="AE84" s="66"/>
      <c r="AF84" s="122"/>
      <c r="AG84" s="96"/>
    </row>
    <row r="85" spans="1:33">
      <c r="A85" s="67" t="s">
        <v>131</v>
      </c>
      <c r="B85" s="10">
        <v>171</v>
      </c>
      <c r="C85" s="10">
        <v>169</v>
      </c>
      <c r="D85" s="10">
        <v>57</v>
      </c>
      <c r="E85" s="23">
        <v>33.333333333333329</v>
      </c>
      <c r="F85" s="11">
        <v>2000</v>
      </c>
      <c r="G85" s="139">
        <v>2700</v>
      </c>
      <c r="H85" s="55">
        <f t="shared" si="27"/>
        <v>4700</v>
      </c>
      <c r="I85" s="136">
        <v>3000</v>
      </c>
      <c r="J85" s="55">
        <f t="shared" si="28"/>
        <v>-1700</v>
      </c>
      <c r="O85" s="23">
        <v>6316.74</v>
      </c>
      <c r="P85" s="12">
        <v>6220.5</v>
      </c>
      <c r="Q85" s="133">
        <f t="shared" si="29"/>
        <v>12537.24</v>
      </c>
      <c r="R85" s="17">
        <f t="shared" si="30"/>
        <v>12141</v>
      </c>
      <c r="S85" s="17">
        <f t="shared" si="31"/>
        <v>-396.23999999999978</v>
      </c>
      <c r="AD85" s="113">
        <f t="shared" si="32"/>
        <v>-2096.2399999999998</v>
      </c>
      <c r="AE85" s="66"/>
      <c r="AF85" s="122"/>
      <c r="AG85" s="96"/>
    </row>
    <row r="86" spans="1:33">
      <c r="A86" s="70" t="s">
        <v>132</v>
      </c>
      <c r="B86" s="10">
        <v>100</v>
      </c>
      <c r="C86" s="10">
        <v>100</v>
      </c>
      <c r="D86" s="10">
        <v>65</v>
      </c>
      <c r="E86" s="23">
        <v>65</v>
      </c>
      <c r="F86" s="11">
        <v>2000</v>
      </c>
      <c r="G86" s="139">
        <v>2700</v>
      </c>
      <c r="H86" s="55">
        <f t="shared" si="27"/>
        <v>4700</v>
      </c>
      <c r="I86" s="136">
        <v>3000</v>
      </c>
      <c r="J86" s="55">
        <f t="shared" si="28"/>
        <v>-1700</v>
      </c>
      <c r="O86" s="23">
        <v>0</v>
      </c>
      <c r="P86" s="12">
        <v>0</v>
      </c>
      <c r="Q86" s="133">
        <f t="shared" si="29"/>
        <v>0</v>
      </c>
      <c r="R86" s="17">
        <f t="shared" si="30"/>
        <v>13845</v>
      </c>
      <c r="S86" s="17">
        <f t="shared" si="31"/>
        <v>13845</v>
      </c>
      <c r="AD86" s="113">
        <f t="shared" si="32"/>
        <v>12145</v>
      </c>
      <c r="AE86" s="66"/>
      <c r="AF86" s="122"/>
      <c r="AG86" s="96"/>
    </row>
    <row r="87" spans="1:33">
      <c r="A87" s="71" t="s">
        <v>133</v>
      </c>
      <c r="B87" s="10"/>
      <c r="C87" s="10">
        <v>0</v>
      </c>
      <c r="D87" s="10"/>
      <c r="E87" s="23"/>
      <c r="F87" s="11"/>
      <c r="G87" s="137">
        <v>0</v>
      </c>
      <c r="H87" s="55">
        <f t="shared" si="27"/>
        <v>0</v>
      </c>
      <c r="I87" s="136">
        <v>0</v>
      </c>
      <c r="J87" s="55">
        <f t="shared" si="28"/>
        <v>0</v>
      </c>
      <c r="O87" s="23"/>
      <c r="P87" s="10">
        <v>0</v>
      </c>
      <c r="Q87" s="133">
        <f t="shared" si="29"/>
        <v>0</v>
      </c>
      <c r="R87" s="17">
        <f t="shared" si="30"/>
        <v>0</v>
      </c>
      <c r="S87" s="17">
        <f t="shared" si="31"/>
        <v>0</v>
      </c>
      <c r="AD87" s="113">
        <f t="shared" si="32"/>
        <v>0</v>
      </c>
      <c r="AE87" s="66"/>
      <c r="AF87" s="122"/>
      <c r="AG87" s="96"/>
    </row>
    <row r="88" spans="1:33">
      <c r="A88" s="71" t="s">
        <v>134</v>
      </c>
      <c r="B88" s="10">
        <v>23</v>
      </c>
      <c r="C88" s="10">
        <v>25</v>
      </c>
      <c r="D88" s="10">
        <v>13</v>
      </c>
      <c r="E88" s="23">
        <v>56.521739130434781</v>
      </c>
      <c r="F88" s="11">
        <v>2000</v>
      </c>
      <c r="G88" s="137">
        <v>2700</v>
      </c>
      <c r="H88" s="55">
        <f t="shared" si="27"/>
        <v>4700</v>
      </c>
      <c r="I88" s="136">
        <v>3000</v>
      </c>
      <c r="J88" s="55">
        <f t="shared" si="28"/>
        <v>-1700</v>
      </c>
      <c r="O88" s="23">
        <v>780</v>
      </c>
      <c r="P88" s="10">
        <v>1470.3</v>
      </c>
      <c r="Q88" s="133">
        <f t="shared" si="29"/>
        <v>2250.3000000000002</v>
      </c>
      <c r="R88" s="17">
        <f t="shared" si="30"/>
        <v>2769</v>
      </c>
      <c r="S88" s="17">
        <f t="shared" si="31"/>
        <v>518.69999999999982</v>
      </c>
      <c r="AD88" s="113">
        <f t="shared" si="32"/>
        <v>-1181.3000000000002</v>
      </c>
      <c r="AE88" s="66"/>
      <c r="AF88" s="122"/>
      <c r="AG88" s="96"/>
    </row>
    <row r="89" spans="1:33">
      <c r="A89" s="12" t="s">
        <v>135</v>
      </c>
      <c r="B89" s="10">
        <v>147</v>
      </c>
      <c r="C89" s="10"/>
      <c r="D89" s="10">
        <v>147</v>
      </c>
      <c r="E89" s="23">
        <v>100</v>
      </c>
      <c r="F89" s="11">
        <v>2000</v>
      </c>
      <c r="G89" s="137">
        <v>2700</v>
      </c>
      <c r="H89" s="55">
        <f t="shared" si="27"/>
        <v>4700</v>
      </c>
      <c r="I89" s="136">
        <v>3000</v>
      </c>
      <c r="J89" s="55">
        <f t="shared" si="28"/>
        <v>-1700</v>
      </c>
      <c r="O89" s="23">
        <v>5660</v>
      </c>
      <c r="P89" s="10">
        <v>8162.05</v>
      </c>
      <c r="Q89" s="133">
        <f t="shared" si="29"/>
        <v>13822.05</v>
      </c>
      <c r="R89" s="17">
        <f t="shared" si="30"/>
        <v>31311</v>
      </c>
      <c r="S89" s="17">
        <f t="shared" si="31"/>
        <v>17488.95</v>
      </c>
      <c r="AD89" s="113">
        <f t="shared" si="32"/>
        <v>15788.95</v>
      </c>
      <c r="AE89" s="66"/>
      <c r="AF89" s="122"/>
      <c r="AG89" s="96"/>
    </row>
    <row r="90" spans="1:33" ht="30">
      <c r="A90" s="72" t="s">
        <v>136</v>
      </c>
      <c r="B90" s="10">
        <v>30</v>
      </c>
      <c r="C90" s="10">
        <v>12</v>
      </c>
      <c r="D90" s="10">
        <v>27</v>
      </c>
      <c r="E90" s="23">
        <v>90</v>
      </c>
      <c r="F90" s="11">
        <v>2000</v>
      </c>
      <c r="G90" s="140">
        <v>2700</v>
      </c>
      <c r="H90" s="55">
        <f t="shared" si="27"/>
        <v>4700</v>
      </c>
      <c r="I90" s="136">
        <v>3000</v>
      </c>
      <c r="J90" s="55">
        <f t="shared" si="28"/>
        <v>-1700</v>
      </c>
      <c r="O90" s="23">
        <v>0</v>
      </c>
      <c r="P90" s="10">
        <v>0</v>
      </c>
      <c r="Q90" s="133">
        <f t="shared" si="29"/>
        <v>0</v>
      </c>
      <c r="R90" s="17">
        <f t="shared" si="30"/>
        <v>5751</v>
      </c>
      <c r="S90" s="17">
        <f t="shared" si="31"/>
        <v>5751</v>
      </c>
      <c r="T90" t="s">
        <v>137</v>
      </c>
      <c r="AD90" s="113">
        <f t="shared" si="32"/>
        <v>4051</v>
      </c>
      <c r="AE90" s="66"/>
      <c r="AF90" s="122"/>
      <c r="AG90" s="96"/>
    </row>
    <row r="91" spans="1:33" ht="15.75" thickBot="1">
      <c r="A91" s="9" t="s">
        <v>101</v>
      </c>
      <c r="B91" s="10"/>
      <c r="C91" s="10"/>
      <c r="D91" s="9">
        <f>SUM(D77:D90)</f>
        <v>654</v>
      </c>
      <c r="F91" s="41">
        <f>SUM(F77:F90)</f>
        <v>22000</v>
      </c>
      <c r="H91" s="41">
        <f>SUM(H77:H90)</f>
        <v>54400</v>
      </c>
      <c r="I91" s="135">
        <f>SUM(I77:I90)</f>
        <v>36000</v>
      </c>
      <c r="J91" s="41">
        <f>SUM(J77:J90)</f>
        <v>-18400</v>
      </c>
      <c r="O91" s="42">
        <f>SUM(O77:O90)</f>
        <v>32781.440000000002</v>
      </c>
      <c r="P91" s="9">
        <f>SUM(P77:P90)</f>
        <v>51931.750000000007</v>
      </c>
      <c r="Q91" s="42">
        <f>SUM(Q77:Q90)</f>
        <v>84713.190000000017</v>
      </c>
      <c r="R91" s="41">
        <f>SUM(R77:R90)</f>
        <v>139302</v>
      </c>
      <c r="S91" s="41">
        <f>SUM(S77:S90)</f>
        <v>54588.81</v>
      </c>
      <c r="T91" s="63">
        <f>J91+S91</f>
        <v>36188.81</v>
      </c>
      <c r="AD91" s="114">
        <f>SUM(AD77:AD90)</f>
        <v>36188.81</v>
      </c>
      <c r="AE91" s="105"/>
      <c r="AF91" s="41"/>
      <c r="AG91" s="93"/>
    </row>
    <row r="93" spans="1:33">
      <c r="A93" s="75" t="s">
        <v>138</v>
      </c>
      <c r="D93" s="76">
        <f>D60+D74+D91</f>
        <v>8884</v>
      </c>
      <c r="H93" s="77">
        <f>H60+H74+H91</f>
        <v>406183.5</v>
      </c>
      <c r="I93" s="76">
        <f>I60+I74+I91</f>
        <v>279000</v>
      </c>
      <c r="Q93" s="78">
        <f>Q60+Q74+Q91</f>
        <v>1209153.8699999996</v>
      </c>
      <c r="R93" s="115">
        <f>R60+R74+R91</f>
        <v>1817955</v>
      </c>
      <c r="AE93" s="94"/>
      <c r="AF93" s="94"/>
      <c r="AG93" s="94"/>
    </row>
    <row r="94" spans="1:33">
      <c r="AE94" s="95"/>
      <c r="AF94" s="95"/>
      <c r="AG94" s="95"/>
    </row>
    <row r="95" spans="1:33" ht="15.75" thickBot="1">
      <c r="Q95" t="s">
        <v>195</v>
      </c>
      <c r="R95" s="159">
        <f>R93</f>
        <v>1817955</v>
      </c>
    </row>
    <row r="96" spans="1:33">
      <c r="A96" s="79" t="s">
        <v>139</v>
      </c>
      <c r="Q96" t="s">
        <v>196</v>
      </c>
      <c r="R96" s="159">
        <f>Y60</f>
        <v>432176.25</v>
      </c>
    </row>
    <row r="97" spans="1:18" ht="15.75" thickBot="1">
      <c r="A97" s="80">
        <v>3040000</v>
      </c>
      <c r="Q97" t="s">
        <v>197</v>
      </c>
      <c r="R97" s="159">
        <f>AC60</f>
        <v>190000</v>
      </c>
    </row>
    <row r="98" spans="1:18">
      <c r="Q98" s="51" t="s">
        <v>101</v>
      </c>
      <c r="R98" s="160">
        <f>SUM(R95:R97)</f>
        <v>2440131.25</v>
      </c>
    </row>
    <row r="99" spans="1:18">
      <c r="A99" s="10" t="s">
        <v>140</v>
      </c>
      <c r="B99" s="10" t="s">
        <v>141</v>
      </c>
      <c r="C99" s="10"/>
      <c r="D99" s="11">
        <f>A97*0.7</f>
        <v>2128000</v>
      </c>
      <c r="E99" s="10" t="s">
        <v>142</v>
      </c>
      <c r="F99" s="55">
        <f>I93</f>
        <v>279000</v>
      </c>
      <c r="G99" s="10" t="s">
        <v>207</v>
      </c>
      <c r="H99" s="176" t="s">
        <v>146</v>
      </c>
    </row>
    <row r="100" spans="1:18">
      <c r="A100" s="10" t="s">
        <v>143</v>
      </c>
      <c r="B100" s="10" t="s">
        <v>144</v>
      </c>
      <c r="C100" s="10"/>
      <c r="D100" s="10"/>
      <c r="E100" s="10" t="s">
        <v>145</v>
      </c>
      <c r="F100" s="55">
        <f>D99-F99</f>
        <v>1849000</v>
      </c>
      <c r="G100" s="10"/>
      <c r="H100" s="82">
        <f>F100/D93</f>
        <v>208.12696983340837</v>
      </c>
      <c r="I100" s="51">
        <v>213</v>
      </c>
    </row>
    <row r="101" spans="1:18">
      <c r="A101" s="12" t="s">
        <v>147</v>
      </c>
      <c r="B101" s="10" t="s">
        <v>148</v>
      </c>
      <c r="C101" s="10"/>
      <c r="D101" s="11">
        <f>A97*0.3</f>
        <v>912000</v>
      </c>
      <c r="E101" s="10" t="s">
        <v>149</v>
      </c>
      <c r="F101" s="11">
        <f>R93</f>
        <v>1817955</v>
      </c>
      <c r="G101" s="10" t="s">
        <v>206</v>
      </c>
    </row>
    <row r="102" spans="1:18" ht="30">
      <c r="E102" s="161" t="s">
        <v>198</v>
      </c>
      <c r="F102" s="162">
        <f>R96+R97</f>
        <v>622176.25</v>
      </c>
      <c r="G102" s="50" t="s">
        <v>222</v>
      </c>
    </row>
    <row r="103" spans="1:18">
      <c r="A103" s="51" t="s">
        <v>150</v>
      </c>
      <c r="E103" s="83" t="s">
        <v>101</v>
      </c>
      <c r="F103" s="84">
        <f>F99+F101+F102</f>
        <v>2719131.25</v>
      </c>
    </row>
    <row r="104" spans="1:18" ht="15.75" thickBot="1">
      <c r="A104" t="s">
        <v>151</v>
      </c>
      <c r="B104" s="85">
        <v>726076.14000000013</v>
      </c>
    </row>
    <row r="105" spans="1:18" ht="15.75" thickBot="1">
      <c r="A105" t="s">
        <v>152</v>
      </c>
      <c r="B105" s="86">
        <v>126468.83</v>
      </c>
      <c r="E105" s="163" t="s">
        <v>199</v>
      </c>
      <c r="F105" s="164">
        <f>F103+D101</f>
        <v>3631131.25</v>
      </c>
    </row>
    <row r="106" spans="1:18">
      <c r="A106" t="s">
        <v>122</v>
      </c>
      <c r="B106" s="85">
        <v>3275</v>
      </c>
    </row>
    <row r="107" spans="1:18" ht="30">
      <c r="A107" s="51" t="s">
        <v>101</v>
      </c>
      <c r="B107" s="77">
        <f>SUM(B104:B106)</f>
        <v>855819.97000000009</v>
      </c>
      <c r="E107" s="50" t="s">
        <v>200</v>
      </c>
      <c r="F107">
        <v>80000</v>
      </c>
      <c r="G107" t="s">
        <v>201</v>
      </c>
    </row>
    <row r="108" spans="1:18">
      <c r="G108" t="s">
        <v>202</v>
      </c>
    </row>
    <row r="109" spans="1:18" ht="15.75" thickBot="1"/>
    <row r="110" spans="1:18" ht="15.75" thickBot="1">
      <c r="E110" s="177" t="s">
        <v>203</v>
      </c>
      <c r="F110" s="178">
        <f>F105+F107</f>
        <v>3711131.25</v>
      </c>
    </row>
    <row r="112" spans="1:18">
      <c r="E112" s="51" t="s">
        <v>204</v>
      </c>
    </row>
    <row r="113" spans="5:7">
      <c r="E113" t="s">
        <v>205</v>
      </c>
      <c r="F113" s="77">
        <f>F110-A97</f>
        <v>671131.25</v>
      </c>
      <c r="G113" t="s">
        <v>213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U112"/>
  <sheetViews>
    <sheetView topLeftCell="A90" zoomScaleNormal="100" workbookViewId="0">
      <pane xSplit="1" topLeftCell="B1" activePane="topRight" state="frozen"/>
      <selection pane="topRight" activeCell="G3" sqref="G3"/>
    </sheetView>
  </sheetViews>
  <sheetFormatPr defaultColWidth="75.140625" defaultRowHeight="15"/>
  <cols>
    <col min="1" max="1" width="42.85546875" customWidth="1"/>
    <col min="2" max="3" width="11.85546875" customWidth="1"/>
    <col min="4" max="4" width="11.28515625" customWidth="1"/>
    <col min="5" max="5" width="13.5703125" customWidth="1"/>
    <col min="6" max="6" width="15" customWidth="1"/>
    <col min="7" max="7" width="17.7109375" customWidth="1"/>
    <col min="8" max="8" width="11.7109375" customWidth="1"/>
    <col min="9" max="9" width="9.42578125" customWidth="1"/>
    <col min="10" max="10" width="10.5703125" customWidth="1"/>
    <col min="11" max="11" width="19.5703125" customWidth="1"/>
    <col min="12" max="12" width="11.5703125" customWidth="1"/>
    <col min="13" max="13" width="16.140625" customWidth="1"/>
    <col min="14" max="14" width="9.85546875" customWidth="1"/>
    <col min="15" max="15" width="15.7109375" customWidth="1"/>
    <col min="16" max="16" width="14.140625" customWidth="1"/>
    <col min="17" max="17" width="13.85546875" customWidth="1"/>
    <col min="18" max="18" width="15.85546875" style="44" customWidth="1"/>
    <col min="19" max="19" width="12.85546875" style="44" customWidth="1"/>
    <col min="20" max="20" width="19.5703125" customWidth="1"/>
    <col min="21" max="22" width="11.42578125" customWidth="1"/>
    <col min="23" max="23" width="14" customWidth="1"/>
    <col min="24" max="24" width="14" hidden="1" customWidth="1"/>
    <col min="25" max="25" width="12.7109375" customWidth="1"/>
    <col min="26" max="26" width="15.28515625" customWidth="1"/>
    <col min="27" max="27" width="14.5703125" customWidth="1"/>
    <col min="28" max="28" width="15.42578125" customWidth="1"/>
    <col min="29" max="29" width="13.42578125" style="44" customWidth="1"/>
    <col min="30" max="30" width="15.42578125" style="44" customWidth="1"/>
    <col min="31" max="31" width="11.85546875" style="44" customWidth="1"/>
    <col min="32" max="33" width="15.42578125" style="44" customWidth="1"/>
    <col min="34" max="34" width="15.5703125" customWidth="1"/>
    <col min="35" max="35" width="20.28515625" customWidth="1"/>
    <col min="36" max="36" width="21.5703125" customWidth="1"/>
    <col min="37" max="37" width="22.7109375" hidden="1" customWidth="1"/>
    <col min="38" max="38" width="40.42578125" hidden="1" customWidth="1"/>
    <col min="39" max="41" width="13.5703125" customWidth="1"/>
    <col min="42" max="42" width="17.85546875" style="16" customWidth="1"/>
    <col min="43" max="43" width="12.7109375" style="16" customWidth="1"/>
    <col min="44" max="44" width="17.85546875" style="16" customWidth="1"/>
    <col min="45" max="45" width="13.5703125" style="16" customWidth="1"/>
    <col min="46" max="46" width="27" style="16" customWidth="1"/>
    <col min="47" max="47" width="18.28515625" style="16" customWidth="1"/>
  </cols>
  <sheetData>
    <row r="1" spans="1:47">
      <c r="A1" s="51" t="s">
        <v>214</v>
      </c>
      <c r="B1" s="51" t="s">
        <v>215</v>
      </c>
      <c r="G1" s="51" t="s">
        <v>216</v>
      </c>
    </row>
    <row r="2" spans="1:47" ht="15.75" thickBot="1">
      <c r="G2" s="51" t="s">
        <v>224</v>
      </c>
    </row>
    <row r="3" spans="1:47" ht="120">
      <c r="A3" s="87" t="s">
        <v>0</v>
      </c>
      <c r="B3" s="1" t="s">
        <v>1</v>
      </c>
      <c r="C3" s="1" t="s">
        <v>2</v>
      </c>
      <c r="D3" s="2" t="s">
        <v>3</v>
      </c>
      <c r="E3" s="1" t="s">
        <v>153</v>
      </c>
      <c r="F3" s="1" t="s">
        <v>180</v>
      </c>
      <c r="G3" s="1" t="s">
        <v>181</v>
      </c>
      <c r="H3" s="90" t="s">
        <v>4</v>
      </c>
      <c r="I3" s="3" t="s">
        <v>185</v>
      </c>
      <c r="J3" s="4" t="s">
        <v>155</v>
      </c>
      <c r="K3" s="1" t="s">
        <v>7</v>
      </c>
      <c r="L3" s="1"/>
      <c r="M3" s="1"/>
      <c r="N3" s="1"/>
      <c r="O3" s="1" t="s">
        <v>182</v>
      </c>
      <c r="P3" s="1" t="s">
        <v>183</v>
      </c>
      <c r="Q3" s="90" t="s">
        <v>10</v>
      </c>
      <c r="R3" s="3" t="s">
        <v>188</v>
      </c>
      <c r="S3" s="4" t="s">
        <v>12</v>
      </c>
      <c r="T3" s="1" t="s">
        <v>13</v>
      </c>
      <c r="U3" s="1" t="s">
        <v>14</v>
      </c>
      <c r="V3" s="1" t="s">
        <v>15</v>
      </c>
      <c r="W3" s="90" t="s">
        <v>16</v>
      </c>
      <c r="X3" s="2" t="s">
        <v>17</v>
      </c>
      <c r="Y3" s="5" t="s">
        <v>18</v>
      </c>
      <c r="Z3" s="1" t="s">
        <v>184</v>
      </c>
      <c r="AA3" s="1" t="s">
        <v>19</v>
      </c>
      <c r="AB3" s="90" t="s">
        <v>20</v>
      </c>
      <c r="AC3" s="99" t="s">
        <v>157</v>
      </c>
      <c r="AD3" s="106" t="s">
        <v>21</v>
      </c>
      <c r="AE3" s="102" t="s">
        <v>22</v>
      </c>
      <c r="AF3" s="6" t="s">
        <v>23</v>
      </c>
      <c r="AG3" s="97" t="s">
        <v>156</v>
      </c>
      <c r="AH3" s="1" t="s">
        <v>24</v>
      </c>
      <c r="AI3" s="1" t="s">
        <v>25</v>
      </c>
      <c r="AJ3" s="1" t="s">
        <v>26</v>
      </c>
      <c r="AK3" s="1" t="s">
        <v>27</v>
      </c>
      <c r="AL3" s="1" t="s">
        <v>28</v>
      </c>
      <c r="AM3" s="1" t="s">
        <v>29</v>
      </c>
      <c r="AN3" s="1" t="s">
        <v>30</v>
      </c>
      <c r="AO3" s="1" t="s">
        <v>31</v>
      </c>
      <c r="AP3" s="7"/>
      <c r="AQ3" s="7"/>
      <c r="AR3" s="7"/>
      <c r="AS3" s="7"/>
      <c r="AT3" s="7"/>
      <c r="AU3" s="8"/>
    </row>
    <row r="4" spans="1:47" ht="18.75">
      <c r="A4" s="88" t="s">
        <v>32</v>
      </c>
      <c r="B4" s="10"/>
      <c r="C4" s="10"/>
      <c r="D4" s="11"/>
      <c r="E4" s="10"/>
      <c r="F4" s="10"/>
      <c r="G4" s="10"/>
      <c r="H4" s="10"/>
      <c r="I4" s="120">
        <v>6000</v>
      </c>
      <c r="J4" s="10"/>
      <c r="K4" s="74" t="s">
        <v>33</v>
      </c>
      <c r="L4" s="74" t="s">
        <v>34</v>
      </c>
      <c r="M4" s="74" t="s">
        <v>35</v>
      </c>
      <c r="N4" s="74" t="s">
        <v>34</v>
      </c>
      <c r="O4" s="74" t="s">
        <v>36</v>
      </c>
      <c r="P4" s="10"/>
      <c r="Q4" s="10"/>
      <c r="R4" s="151">
        <v>340</v>
      </c>
      <c r="S4" s="12"/>
      <c r="T4" s="74" t="s">
        <v>37</v>
      </c>
      <c r="U4" s="74" t="s">
        <v>34</v>
      </c>
      <c r="V4" s="74" t="s">
        <v>34</v>
      </c>
      <c r="W4" s="74" t="s">
        <v>34</v>
      </c>
      <c r="X4" s="10"/>
      <c r="Y4" s="74">
        <v>1</v>
      </c>
      <c r="Z4" s="74" t="s">
        <v>34</v>
      </c>
      <c r="AA4" s="10"/>
      <c r="AB4" s="10"/>
      <c r="AC4" s="73"/>
      <c r="AD4" s="107"/>
      <c r="AE4" s="68"/>
      <c r="AF4" s="12"/>
      <c r="AG4" s="98">
        <v>200000</v>
      </c>
      <c r="AH4" s="10"/>
      <c r="AI4" s="10"/>
      <c r="AJ4" s="10"/>
      <c r="AK4" s="10"/>
      <c r="AL4" s="10"/>
      <c r="AM4" s="14"/>
      <c r="AN4" s="14"/>
      <c r="AO4" s="14"/>
      <c r="AP4" s="15"/>
      <c r="AQ4" s="15"/>
      <c r="AR4" s="15"/>
      <c r="AS4" s="15"/>
    </row>
    <row r="5" spans="1:47">
      <c r="A5" s="12" t="s">
        <v>38</v>
      </c>
      <c r="B5" s="17">
        <v>139</v>
      </c>
      <c r="C5" s="12">
        <v>139</v>
      </c>
      <c r="D5" s="17">
        <v>73</v>
      </c>
      <c r="E5" s="18">
        <v>52.517985611510788</v>
      </c>
      <c r="F5" s="18">
        <v>2490</v>
      </c>
      <c r="G5" s="17">
        <v>2490</v>
      </c>
      <c r="H5" s="17">
        <f>F5+G5</f>
        <v>4980</v>
      </c>
      <c r="I5" s="17">
        <f>I4</f>
        <v>6000</v>
      </c>
      <c r="J5" s="17">
        <f>I5-H5</f>
        <v>1020</v>
      </c>
      <c r="K5" s="12">
        <v>352</v>
      </c>
      <c r="L5" s="18">
        <v>4576</v>
      </c>
      <c r="M5" s="18">
        <v>56</v>
      </c>
      <c r="N5" s="18">
        <v>173.6</v>
      </c>
      <c r="O5" s="18">
        <v>4749.6000000000004</v>
      </c>
      <c r="P5" s="18">
        <v>4749.6000000000004</v>
      </c>
      <c r="Q5" s="18">
        <f>O5+P5</f>
        <v>9499.2000000000007</v>
      </c>
      <c r="R5" s="17">
        <f>R$4*D5</f>
        <v>24820</v>
      </c>
      <c r="S5" s="18">
        <f>R5-Q5</f>
        <v>15320.8</v>
      </c>
      <c r="T5" s="18">
        <v>298</v>
      </c>
      <c r="U5" s="18">
        <v>0</v>
      </c>
      <c r="V5" s="19">
        <v>9834</v>
      </c>
      <c r="W5" s="19">
        <f>U5+V5</f>
        <v>9834</v>
      </c>
      <c r="X5" s="20">
        <f>W5/33</f>
        <v>298</v>
      </c>
      <c r="Y5" s="19">
        <f>-W5*Y4</f>
        <v>-9834</v>
      </c>
      <c r="Z5" s="12"/>
      <c r="AA5" s="21"/>
      <c r="AB5" s="18">
        <f>Z5+AA5</f>
        <v>0</v>
      </c>
      <c r="AC5" s="100">
        <f>-AB5</f>
        <v>0</v>
      </c>
      <c r="AD5" s="108">
        <f>J5+S5+Y5+AC5+AG5</f>
        <v>10648.30467974193</v>
      </c>
      <c r="AE5" s="103">
        <f>E5</f>
        <v>52.517985611510788</v>
      </c>
      <c r="AF5" s="22">
        <f>X5*AE5/100</f>
        <v>156.50359712230215</v>
      </c>
      <c r="AG5" s="22">
        <f>AF5*AG4/AF60</f>
        <v>4141.5046797419318</v>
      </c>
      <c r="AH5" s="24"/>
      <c r="AI5" s="24">
        <f t="shared" ref="AI5:AI36" si="0">U5+AH5</f>
        <v>0</v>
      </c>
      <c r="AJ5" s="24">
        <v>18788.900000000001</v>
      </c>
      <c r="AK5" s="24">
        <f>AI5-AJ5</f>
        <v>-18788.900000000001</v>
      </c>
      <c r="AL5" s="24"/>
      <c r="AM5" s="24"/>
      <c r="AN5" s="24"/>
      <c r="AO5" s="24">
        <f>AM5+AN5</f>
        <v>0</v>
      </c>
      <c r="AP5" s="15"/>
      <c r="AQ5" s="15"/>
      <c r="AR5" s="15"/>
      <c r="AS5" s="15"/>
    </row>
    <row r="6" spans="1:47">
      <c r="A6" s="10" t="str">
        <f>'[1]Fredericia Ordningen 2015 - ans'!A4:B4</f>
        <v>Bowlingklubben Pletten</v>
      </c>
      <c r="B6" s="11">
        <f>'[1]Fredericia Ordningen 2015 - ans'!C10</f>
        <v>45</v>
      </c>
      <c r="C6" s="12"/>
      <c r="D6" s="11">
        <f>'[1]Fredericia Ordningen 2015 - ans'!C11</f>
        <v>10</v>
      </c>
      <c r="E6" s="23">
        <f>D6/B6*100</f>
        <v>22.222222222222221</v>
      </c>
      <c r="F6" s="10">
        <f>'[1]Fredericia Ordningen 2015 - ans'!D41</f>
        <v>2489.5</v>
      </c>
      <c r="G6" s="17"/>
      <c r="H6" s="17">
        <f t="shared" ref="H6:H59" si="1">F6+G6</f>
        <v>2489.5</v>
      </c>
      <c r="I6" s="17">
        <f>I5</f>
        <v>6000</v>
      </c>
      <c r="J6" s="17">
        <f t="shared" ref="J6:J61" si="2">I6-H6</f>
        <v>3510.5</v>
      </c>
      <c r="K6" s="12">
        <f>'[1]Fredericia Ordningen 2015 - ans'!B21</f>
        <v>50</v>
      </c>
      <c r="L6" s="12">
        <f>'[1]Fredericia Ordningen 2015 - ans'!B24</f>
        <v>650</v>
      </c>
      <c r="M6" s="12">
        <f>'[1]Fredericia Ordningen 2015 - ans'!C21</f>
        <v>0</v>
      </c>
      <c r="N6" s="12">
        <f>'[1]Fredericia Ordningen 2015 - ans'!C24</f>
        <v>0</v>
      </c>
      <c r="O6" s="12">
        <f>'[1]Fredericia Ordningen 2015 - ans'!C25</f>
        <v>650</v>
      </c>
      <c r="P6" s="18"/>
      <c r="Q6" s="18">
        <f t="shared" ref="Q6:Q59" si="3">O6+P6</f>
        <v>650</v>
      </c>
      <c r="R6" s="17">
        <f>R$4*D6</f>
        <v>3400</v>
      </c>
      <c r="S6" s="18">
        <f t="shared" ref="S6:S59" si="4">R6-Q6</f>
        <v>2750</v>
      </c>
      <c r="T6" s="12">
        <f>'[1]Fredericia Ordningen 2015 - ans'!B34</f>
        <v>60</v>
      </c>
      <c r="U6" s="12">
        <f>'[1]Fredericia Ordningen 2015 - ans'!B36</f>
        <v>1980</v>
      </c>
      <c r="V6" s="19"/>
      <c r="W6" s="19">
        <f t="shared" ref="W6:W59" si="5">U6+V6</f>
        <v>1980</v>
      </c>
      <c r="X6" s="19"/>
      <c r="Y6" s="19">
        <f>-W6*Y4</f>
        <v>-1980</v>
      </c>
      <c r="Z6" s="10"/>
      <c r="AA6" s="21"/>
      <c r="AB6" s="18">
        <f t="shared" ref="AB6:AB59" si="6">Z6+AA6</f>
        <v>0</v>
      </c>
      <c r="AC6" s="100">
        <f t="shared" ref="AC6:AC59" si="7">-AB6</f>
        <v>0</v>
      </c>
      <c r="AD6" s="109">
        <f t="shared" ref="AD6:AD57" si="8">J6+S6+Y6+AC6</f>
        <v>4280.5</v>
      </c>
      <c r="AE6" s="103"/>
      <c r="AF6" s="17"/>
      <c r="AG6" s="17"/>
      <c r="AH6" s="24">
        <f t="shared" ref="AH6:AH59" si="9">F6+O6</f>
        <v>3139.5</v>
      </c>
      <c r="AI6" s="24">
        <f t="shared" si="0"/>
        <v>5119.5</v>
      </c>
      <c r="AJ6" s="24">
        <v>0</v>
      </c>
      <c r="AK6" s="24">
        <f t="shared" ref="AK6:AK59" si="10">AI6-AJ6</f>
        <v>5119.5</v>
      </c>
      <c r="AL6" s="24" t="s">
        <v>39</v>
      </c>
      <c r="AM6" s="24"/>
      <c r="AN6" s="24"/>
      <c r="AO6" s="24">
        <f t="shared" ref="AO6:AO60" si="11">AM6+AN6</f>
        <v>0</v>
      </c>
      <c r="AP6" s="15"/>
      <c r="AQ6" s="15"/>
      <c r="AR6" s="15"/>
      <c r="AS6" s="15"/>
    </row>
    <row r="7" spans="1:47">
      <c r="A7" s="25" t="s">
        <v>40</v>
      </c>
      <c r="B7" s="26">
        <v>898</v>
      </c>
      <c r="C7" s="12">
        <v>354</v>
      </c>
      <c r="D7" s="26">
        <v>418</v>
      </c>
      <c r="E7" s="27">
        <v>46.547884187082403</v>
      </c>
      <c r="F7" s="25">
        <v>4980</v>
      </c>
      <c r="G7" s="17">
        <v>4980</v>
      </c>
      <c r="H7" s="17">
        <f t="shared" si="1"/>
        <v>9960</v>
      </c>
      <c r="I7" s="17">
        <f>5*I4</f>
        <v>30000</v>
      </c>
      <c r="J7" s="17">
        <f t="shared" si="2"/>
        <v>20040</v>
      </c>
      <c r="K7" s="128">
        <v>1777</v>
      </c>
      <c r="L7" s="128">
        <v>23101</v>
      </c>
      <c r="M7" s="128">
        <v>116</v>
      </c>
      <c r="N7" s="128">
        <v>359.6</v>
      </c>
      <c r="O7" s="128">
        <v>23460.6</v>
      </c>
      <c r="P7" s="18">
        <v>20880.2</v>
      </c>
      <c r="Q7" s="18">
        <f t="shared" si="3"/>
        <v>44340.800000000003</v>
      </c>
      <c r="R7" s="153">
        <f>'[2]Hovedfor. ens (3)'!R11</f>
        <v>91590</v>
      </c>
      <c r="S7" s="18">
        <f t="shared" si="4"/>
        <v>47249.2</v>
      </c>
      <c r="T7" s="128">
        <v>118</v>
      </c>
      <c r="U7" s="128">
        <v>3894</v>
      </c>
      <c r="V7" s="19">
        <v>5098.5</v>
      </c>
      <c r="W7" s="19">
        <f t="shared" si="5"/>
        <v>8992.5</v>
      </c>
      <c r="X7" s="28">
        <f>'[2]Hovedfor. ens (3)'!W6</f>
        <v>60</v>
      </c>
      <c r="Y7" s="19">
        <f>-W7*Y4</f>
        <v>-8992.5</v>
      </c>
      <c r="Z7" s="25"/>
      <c r="AA7" s="21">
        <v>0</v>
      </c>
      <c r="AB7" s="18">
        <f t="shared" si="6"/>
        <v>0</v>
      </c>
      <c r="AC7" s="100">
        <f t="shared" si="7"/>
        <v>0</v>
      </c>
      <c r="AD7" s="108">
        <f>J7+S7+Y7+AC7+AG7</f>
        <v>59035.769070887502</v>
      </c>
      <c r="AE7" s="103">
        <f>E7</f>
        <v>46.547884187082403</v>
      </c>
      <c r="AF7" s="22">
        <f>X7*AE7/100</f>
        <v>27.928730512249441</v>
      </c>
      <c r="AG7" s="22">
        <f>AF7*AG4/AF60</f>
        <v>739.06907088750552</v>
      </c>
      <c r="AH7" s="24">
        <f t="shared" si="9"/>
        <v>28440.6</v>
      </c>
      <c r="AI7" s="24">
        <f t="shared" si="0"/>
        <v>32334.6</v>
      </c>
      <c r="AJ7" s="24">
        <v>35143.800000000003</v>
      </c>
      <c r="AK7" s="24">
        <f t="shared" si="10"/>
        <v>-2809.2000000000044</v>
      </c>
      <c r="AL7" s="24" t="s">
        <v>41</v>
      </c>
      <c r="AM7" s="142">
        <v>78036.78</v>
      </c>
      <c r="AN7" s="24"/>
      <c r="AO7" s="24">
        <f t="shared" si="11"/>
        <v>78036.78</v>
      </c>
      <c r="AP7" s="15"/>
      <c r="AQ7" s="15"/>
      <c r="AR7" s="15"/>
      <c r="AS7" s="15"/>
    </row>
    <row r="8" spans="1:47">
      <c r="A8" s="12" t="s">
        <v>42</v>
      </c>
      <c r="B8" s="17">
        <v>120</v>
      </c>
      <c r="C8" s="10">
        <v>114</v>
      </c>
      <c r="D8" s="17">
        <v>12</v>
      </c>
      <c r="E8" s="18">
        <v>10</v>
      </c>
      <c r="F8" s="24">
        <v>2489.5</v>
      </c>
      <c r="G8" s="11">
        <v>2490</v>
      </c>
      <c r="H8" s="17">
        <f t="shared" si="1"/>
        <v>4979.5</v>
      </c>
      <c r="I8" s="17">
        <f>I4</f>
        <v>6000</v>
      </c>
      <c r="J8" s="17">
        <f t="shared" si="2"/>
        <v>1020.5</v>
      </c>
      <c r="K8" s="24">
        <v>33</v>
      </c>
      <c r="L8" s="24">
        <v>429</v>
      </c>
      <c r="M8" s="24">
        <v>40</v>
      </c>
      <c r="N8" s="24">
        <v>124</v>
      </c>
      <c r="O8" s="24">
        <v>553</v>
      </c>
      <c r="P8" s="18">
        <v>583.29999999999995</v>
      </c>
      <c r="Q8" s="18">
        <f t="shared" si="3"/>
        <v>1136.3</v>
      </c>
      <c r="R8" s="17">
        <f>R$4*D8</f>
        <v>4080</v>
      </c>
      <c r="S8" s="18">
        <f t="shared" si="4"/>
        <v>2943.7</v>
      </c>
      <c r="T8" s="24">
        <v>0</v>
      </c>
      <c r="U8" s="24">
        <v>0</v>
      </c>
      <c r="V8" s="12">
        <v>0</v>
      </c>
      <c r="W8" s="19">
        <f t="shared" si="5"/>
        <v>0</v>
      </c>
      <c r="X8" s="19"/>
      <c r="Y8" s="19">
        <f t="shared" ref="Y8:Y13" si="12">-W8</f>
        <v>0</v>
      </c>
      <c r="Z8" s="24"/>
      <c r="AA8" s="21"/>
      <c r="AB8" s="18">
        <f t="shared" si="6"/>
        <v>0</v>
      </c>
      <c r="AC8" s="100">
        <f t="shared" si="7"/>
        <v>0</v>
      </c>
      <c r="AD8" s="109">
        <f t="shared" si="8"/>
        <v>3964.2</v>
      </c>
      <c r="AE8" s="103"/>
      <c r="AF8" s="17"/>
      <c r="AG8" s="17"/>
      <c r="AH8" s="24">
        <f t="shared" si="9"/>
        <v>3042.5</v>
      </c>
      <c r="AI8" s="24">
        <f t="shared" si="0"/>
        <v>3042.5</v>
      </c>
      <c r="AJ8" s="24">
        <v>3149.5</v>
      </c>
      <c r="AK8" s="24">
        <f t="shared" si="10"/>
        <v>-107</v>
      </c>
      <c r="AL8" s="24" t="s">
        <v>43</v>
      </c>
      <c r="AM8" s="24"/>
      <c r="AN8" s="24"/>
      <c r="AO8" s="24">
        <f t="shared" si="11"/>
        <v>0</v>
      </c>
      <c r="AP8" s="15"/>
      <c r="AQ8" s="15"/>
      <c r="AR8" s="15"/>
      <c r="AS8" s="15"/>
    </row>
    <row r="9" spans="1:47">
      <c r="A9" s="12" t="s">
        <v>44</v>
      </c>
      <c r="B9" s="17">
        <v>86</v>
      </c>
      <c r="C9" s="12">
        <v>99</v>
      </c>
      <c r="D9" s="17">
        <v>74</v>
      </c>
      <c r="E9" s="18">
        <v>86.04651162790698</v>
      </c>
      <c r="F9" s="24">
        <v>2489.5</v>
      </c>
      <c r="G9" s="17">
        <v>2490</v>
      </c>
      <c r="H9" s="17">
        <f t="shared" si="1"/>
        <v>4979.5</v>
      </c>
      <c r="I9" s="17">
        <f>I4</f>
        <v>6000</v>
      </c>
      <c r="J9" s="17">
        <f t="shared" si="2"/>
        <v>1020.5</v>
      </c>
      <c r="K9" s="24">
        <v>366</v>
      </c>
      <c r="L9" s="24">
        <v>4758</v>
      </c>
      <c r="M9" s="24">
        <v>48</v>
      </c>
      <c r="N9" s="24">
        <v>148.80000000000001</v>
      </c>
      <c r="O9" s="24">
        <v>4906.8</v>
      </c>
      <c r="P9" s="18">
        <v>4686</v>
      </c>
      <c r="Q9" s="18">
        <f t="shared" si="3"/>
        <v>9592.7999999999993</v>
      </c>
      <c r="R9" s="17">
        <f t="shared" ref="R9:R15" si="13">R$4*D9</f>
        <v>25160</v>
      </c>
      <c r="S9" s="18">
        <f t="shared" si="4"/>
        <v>15567.2</v>
      </c>
      <c r="T9" s="24">
        <v>0</v>
      </c>
      <c r="U9" s="24">
        <v>0</v>
      </c>
      <c r="V9" s="19">
        <v>0</v>
      </c>
      <c r="W9" s="19">
        <f t="shared" si="5"/>
        <v>0</v>
      </c>
      <c r="X9" s="19"/>
      <c r="Y9" s="19">
        <f t="shared" si="12"/>
        <v>0</v>
      </c>
      <c r="Z9" s="24"/>
      <c r="AA9" s="21"/>
      <c r="AB9" s="18">
        <f t="shared" si="6"/>
        <v>0</v>
      </c>
      <c r="AC9" s="100">
        <f t="shared" si="7"/>
        <v>0</v>
      </c>
      <c r="AD9" s="109">
        <f t="shared" si="8"/>
        <v>16587.7</v>
      </c>
      <c r="AE9" s="103"/>
      <c r="AF9" s="17"/>
      <c r="AG9" s="17"/>
      <c r="AH9" s="24">
        <f t="shared" si="9"/>
        <v>7396.3</v>
      </c>
      <c r="AI9" s="24">
        <f t="shared" si="0"/>
        <v>7396.3</v>
      </c>
      <c r="AJ9" s="24">
        <v>7435.3</v>
      </c>
      <c r="AK9" s="24">
        <f t="shared" si="10"/>
        <v>-39</v>
      </c>
      <c r="AL9" s="24"/>
      <c r="AM9" s="24"/>
      <c r="AN9" s="24"/>
      <c r="AO9" s="24">
        <f t="shared" si="11"/>
        <v>0</v>
      </c>
      <c r="AP9" s="15"/>
      <c r="AQ9" s="15"/>
      <c r="AR9" s="15"/>
      <c r="AS9" s="15"/>
    </row>
    <row r="10" spans="1:47">
      <c r="A10" s="12" t="s">
        <v>45</v>
      </c>
      <c r="B10" s="17">
        <v>832</v>
      </c>
      <c r="C10" s="30">
        <v>885</v>
      </c>
      <c r="D10" s="17">
        <v>729</v>
      </c>
      <c r="E10" s="18">
        <v>87.620192307692307</v>
      </c>
      <c r="F10" s="24">
        <v>4980</v>
      </c>
      <c r="G10" s="31">
        <v>4980</v>
      </c>
      <c r="H10" s="17">
        <f t="shared" si="1"/>
        <v>9960</v>
      </c>
      <c r="I10" s="17">
        <f t="shared" ref="I10" si="14">I6</f>
        <v>6000</v>
      </c>
      <c r="J10" s="17">
        <f t="shared" si="2"/>
        <v>-3960</v>
      </c>
      <c r="K10" s="24">
        <v>2993</v>
      </c>
      <c r="L10" s="24">
        <v>38909</v>
      </c>
      <c r="M10" s="24">
        <v>8</v>
      </c>
      <c r="N10" s="24">
        <v>24.8</v>
      </c>
      <c r="O10" s="24">
        <v>38933.800000000003</v>
      </c>
      <c r="P10" s="129">
        <v>51792.7</v>
      </c>
      <c r="Q10" s="18">
        <f t="shared" si="3"/>
        <v>90726.5</v>
      </c>
      <c r="R10" s="17">
        <f t="shared" si="13"/>
        <v>247860</v>
      </c>
      <c r="S10" s="18">
        <f t="shared" si="4"/>
        <v>157133.5</v>
      </c>
      <c r="T10" s="24">
        <v>0</v>
      </c>
      <c r="U10" s="24">
        <v>0</v>
      </c>
      <c r="V10" s="131">
        <v>0</v>
      </c>
      <c r="W10" s="19">
        <f t="shared" si="5"/>
        <v>0</v>
      </c>
      <c r="X10" s="19"/>
      <c r="Y10" s="19">
        <f t="shared" si="12"/>
        <v>0</v>
      </c>
      <c r="Z10" s="24">
        <f>[2]Svømmetimetilskud!J8</f>
        <v>44071.367458789144</v>
      </c>
      <c r="AA10" s="32">
        <v>41313.44641620836</v>
      </c>
      <c r="AB10" s="18">
        <f t="shared" si="6"/>
        <v>85384.813874997504</v>
      </c>
      <c r="AC10" s="100">
        <f>-AB10/2</f>
        <v>-42692.406937498752</v>
      </c>
      <c r="AD10" s="109">
        <f t="shared" si="8"/>
        <v>110481.09306250126</v>
      </c>
      <c r="AE10" s="103"/>
      <c r="AF10" s="17"/>
      <c r="AG10" s="17"/>
      <c r="AH10" s="24">
        <f t="shared" si="9"/>
        <v>43913.8</v>
      </c>
      <c r="AI10" s="24">
        <f t="shared" si="0"/>
        <v>43913.8</v>
      </c>
      <c r="AJ10" s="24">
        <v>45578</v>
      </c>
      <c r="AK10" s="24">
        <f t="shared" si="10"/>
        <v>-1664.1999999999971</v>
      </c>
      <c r="AL10" s="15" t="s">
        <v>43</v>
      </c>
      <c r="AM10" s="143">
        <v>11165</v>
      </c>
      <c r="AN10" s="143">
        <v>3288.6</v>
      </c>
      <c r="AO10" s="24">
        <f t="shared" si="11"/>
        <v>14453.6</v>
      </c>
      <c r="AP10" s="15"/>
      <c r="AQ10" s="15"/>
      <c r="AR10" s="15"/>
      <c r="AS10" s="15"/>
    </row>
    <row r="11" spans="1:47">
      <c r="A11" s="10" t="s">
        <v>46</v>
      </c>
      <c r="B11" s="11">
        <v>258</v>
      </c>
      <c r="C11" s="12">
        <v>244</v>
      </c>
      <c r="D11" s="11">
        <v>105</v>
      </c>
      <c r="E11" s="23">
        <v>40.697674418604649</v>
      </c>
      <c r="F11" s="10">
        <v>2489.5</v>
      </c>
      <c r="G11" s="17">
        <v>2490</v>
      </c>
      <c r="H11" s="17">
        <f t="shared" si="1"/>
        <v>4979.5</v>
      </c>
      <c r="I11" s="17">
        <f t="shared" ref="I11" si="15">I6</f>
        <v>6000</v>
      </c>
      <c r="J11" s="17">
        <f t="shared" si="2"/>
        <v>1020.5</v>
      </c>
      <c r="K11" s="12">
        <v>582</v>
      </c>
      <c r="L11" s="12">
        <v>7566</v>
      </c>
      <c r="M11" s="12">
        <v>48</v>
      </c>
      <c r="N11" s="12">
        <v>148.80000000000001</v>
      </c>
      <c r="O11" s="12">
        <v>7714.8</v>
      </c>
      <c r="P11" s="18">
        <v>7930.2</v>
      </c>
      <c r="Q11" s="18">
        <f t="shared" si="3"/>
        <v>15645</v>
      </c>
      <c r="R11" s="17">
        <f t="shared" si="13"/>
        <v>35700</v>
      </c>
      <c r="S11" s="18">
        <f t="shared" si="4"/>
        <v>20055</v>
      </c>
      <c r="T11" s="12">
        <v>0</v>
      </c>
      <c r="U11" s="12">
        <v>0</v>
      </c>
      <c r="V11" s="19">
        <v>0</v>
      </c>
      <c r="W11" s="19">
        <f t="shared" si="5"/>
        <v>0</v>
      </c>
      <c r="X11" s="19"/>
      <c r="Y11" s="19">
        <f t="shared" si="12"/>
        <v>0</v>
      </c>
      <c r="Z11" s="33">
        <f>[2]Svømmetimetilskud!J4</f>
        <v>3142.1884340545612</v>
      </c>
      <c r="AA11" s="32">
        <v>2853.3560928786133</v>
      </c>
      <c r="AB11" s="18">
        <f t="shared" si="6"/>
        <v>5995.544526933174</v>
      </c>
      <c r="AC11" s="100">
        <f>-AB11/2</f>
        <v>-2997.772263466587</v>
      </c>
      <c r="AD11" s="108">
        <f t="shared" si="8"/>
        <v>18077.727736533412</v>
      </c>
      <c r="AE11" s="103"/>
      <c r="AF11" s="17"/>
      <c r="AG11" s="17"/>
      <c r="AH11" s="24">
        <f t="shared" si="9"/>
        <v>10204.299999999999</v>
      </c>
      <c r="AI11" s="24">
        <f t="shared" si="0"/>
        <v>10204.299999999999</v>
      </c>
      <c r="AJ11" s="24">
        <v>10909.9</v>
      </c>
      <c r="AK11" s="24">
        <f t="shared" si="10"/>
        <v>-705.60000000000036</v>
      </c>
      <c r="AL11" s="24" t="s">
        <v>43</v>
      </c>
      <c r="AM11" s="144">
        <v>1900</v>
      </c>
      <c r="AN11" s="24"/>
      <c r="AO11" s="24">
        <f t="shared" si="11"/>
        <v>1900</v>
      </c>
      <c r="AP11" s="15"/>
      <c r="AQ11" s="15"/>
      <c r="AR11" s="15"/>
      <c r="AS11" s="15"/>
    </row>
    <row r="12" spans="1:47">
      <c r="A12" s="12" t="s">
        <v>47</v>
      </c>
      <c r="B12" s="17">
        <v>98</v>
      </c>
      <c r="C12" s="10">
        <v>100</v>
      </c>
      <c r="D12" s="17">
        <v>30</v>
      </c>
      <c r="E12" s="18">
        <v>30.612244897959183</v>
      </c>
      <c r="F12" s="24">
        <v>2489.5</v>
      </c>
      <c r="G12" s="11">
        <v>2490</v>
      </c>
      <c r="H12" s="17">
        <f t="shared" si="1"/>
        <v>4979.5</v>
      </c>
      <c r="I12" s="17">
        <f t="shared" ref="I12" si="16">I8</f>
        <v>6000</v>
      </c>
      <c r="J12" s="17">
        <f t="shared" si="2"/>
        <v>1020.5</v>
      </c>
      <c r="K12" s="24">
        <v>174</v>
      </c>
      <c r="L12" s="24">
        <v>2262</v>
      </c>
      <c r="M12" s="24">
        <v>6</v>
      </c>
      <c r="N12" s="24">
        <v>18.600000000000001</v>
      </c>
      <c r="O12" s="24">
        <v>2280.6</v>
      </c>
      <c r="P12" s="18">
        <v>2387.1</v>
      </c>
      <c r="Q12" s="18">
        <f t="shared" si="3"/>
        <v>4667.7</v>
      </c>
      <c r="R12" s="17">
        <f t="shared" si="13"/>
        <v>10200</v>
      </c>
      <c r="S12" s="18">
        <f t="shared" si="4"/>
        <v>5532.3</v>
      </c>
      <c r="T12" s="24">
        <v>0</v>
      </c>
      <c r="U12" s="24">
        <v>0</v>
      </c>
      <c r="V12" s="12">
        <v>0</v>
      </c>
      <c r="W12" s="19">
        <f t="shared" si="5"/>
        <v>0</v>
      </c>
      <c r="X12" s="19"/>
      <c r="Y12" s="19">
        <f t="shared" si="12"/>
        <v>0</v>
      </c>
      <c r="Z12" s="24">
        <f>[2]Svømmetimetilskud!J7</f>
        <v>222.27385579555556</v>
      </c>
      <c r="AA12" s="32">
        <v>382.14590529624286</v>
      </c>
      <c r="AB12" s="18">
        <f t="shared" si="6"/>
        <v>604.41976109179836</v>
      </c>
      <c r="AC12" s="100">
        <f>-AB12/2</f>
        <v>-302.20988054589918</v>
      </c>
      <c r="AD12" s="109">
        <f t="shared" si="8"/>
        <v>6250.5901194541011</v>
      </c>
      <c r="AE12" s="103"/>
      <c r="AF12" s="17"/>
      <c r="AG12" s="17"/>
      <c r="AH12" s="24">
        <f t="shared" si="9"/>
        <v>4770.1000000000004</v>
      </c>
      <c r="AI12" s="24">
        <f t="shared" si="0"/>
        <v>4770.1000000000004</v>
      </c>
      <c r="AJ12" s="24">
        <v>5008.5</v>
      </c>
      <c r="AK12" s="24">
        <f t="shared" si="10"/>
        <v>-238.39999999999964</v>
      </c>
      <c r="AL12" s="24" t="s">
        <v>43</v>
      </c>
      <c r="AM12" s="24"/>
      <c r="AN12" s="24"/>
      <c r="AO12" s="24">
        <f t="shared" si="11"/>
        <v>0</v>
      </c>
      <c r="AP12" s="15"/>
      <c r="AQ12" s="15"/>
      <c r="AR12" s="15"/>
      <c r="AS12" s="15"/>
    </row>
    <row r="13" spans="1:47">
      <c r="A13" s="12" t="s">
        <v>48</v>
      </c>
      <c r="B13" s="17">
        <v>183</v>
      </c>
      <c r="C13" s="12">
        <v>187</v>
      </c>
      <c r="D13" s="17">
        <v>148</v>
      </c>
      <c r="E13" s="18">
        <v>80.874316939890718</v>
      </c>
      <c r="F13" s="24">
        <v>2489.5</v>
      </c>
      <c r="G13" s="17">
        <v>2490</v>
      </c>
      <c r="H13" s="17">
        <f t="shared" si="1"/>
        <v>4979.5</v>
      </c>
      <c r="I13" s="17">
        <f t="shared" ref="I13" si="17">I8</f>
        <v>6000</v>
      </c>
      <c r="J13" s="17">
        <f t="shared" si="2"/>
        <v>1020.5</v>
      </c>
      <c r="K13" s="24">
        <v>847</v>
      </c>
      <c r="L13" s="24">
        <v>11011</v>
      </c>
      <c r="M13" s="24">
        <v>40</v>
      </c>
      <c r="N13" s="24">
        <v>124</v>
      </c>
      <c r="O13" s="24">
        <v>11135</v>
      </c>
      <c r="P13" s="18">
        <v>11203.1</v>
      </c>
      <c r="Q13" s="18">
        <f t="shared" si="3"/>
        <v>22338.1</v>
      </c>
      <c r="R13" s="17">
        <f t="shared" si="13"/>
        <v>50320</v>
      </c>
      <c r="S13" s="18">
        <f t="shared" si="4"/>
        <v>27981.9</v>
      </c>
      <c r="T13" s="24">
        <v>0</v>
      </c>
      <c r="U13" s="24">
        <v>0</v>
      </c>
      <c r="V13" s="19">
        <v>0</v>
      </c>
      <c r="W13" s="19">
        <f t="shared" si="5"/>
        <v>0</v>
      </c>
      <c r="X13" s="19"/>
      <c r="Y13" s="19">
        <f t="shared" si="12"/>
        <v>0</v>
      </c>
      <c r="Z13" s="24"/>
      <c r="AA13" s="21"/>
      <c r="AB13" s="18">
        <f t="shared" si="6"/>
        <v>0</v>
      </c>
      <c r="AC13" s="100">
        <f t="shared" si="7"/>
        <v>0</v>
      </c>
      <c r="AD13" s="109">
        <f t="shared" si="8"/>
        <v>29002.400000000001</v>
      </c>
      <c r="AE13" s="103"/>
      <c r="AF13" s="17"/>
      <c r="AG13" s="17"/>
      <c r="AH13" s="24">
        <f t="shared" si="9"/>
        <v>13624.5</v>
      </c>
      <c r="AI13" s="24">
        <f t="shared" si="0"/>
        <v>13624.5</v>
      </c>
      <c r="AJ13" s="24">
        <v>13709.3</v>
      </c>
      <c r="AK13" s="24">
        <f t="shared" si="10"/>
        <v>-84.799999999999272</v>
      </c>
      <c r="AL13" s="24" t="s">
        <v>43</v>
      </c>
      <c r="AM13" s="24"/>
      <c r="AN13" s="24"/>
      <c r="AO13" s="24">
        <f t="shared" si="11"/>
        <v>0</v>
      </c>
      <c r="AP13" s="15"/>
      <c r="AQ13" s="15"/>
      <c r="AR13" s="15"/>
      <c r="AS13" s="15"/>
    </row>
    <row r="14" spans="1:47">
      <c r="A14" s="12" t="s">
        <v>49</v>
      </c>
      <c r="B14" s="17">
        <v>123</v>
      </c>
      <c r="C14" s="12">
        <v>159</v>
      </c>
      <c r="D14" s="17">
        <v>41</v>
      </c>
      <c r="E14" s="18">
        <v>33.333333333333329</v>
      </c>
      <c r="F14" s="24">
        <v>2489.5</v>
      </c>
      <c r="G14" s="17">
        <v>2490</v>
      </c>
      <c r="H14" s="17">
        <f t="shared" si="1"/>
        <v>4979.5</v>
      </c>
      <c r="I14" s="17">
        <f t="shared" ref="I14" si="18">I10</f>
        <v>6000</v>
      </c>
      <c r="J14" s="17">
        <f t="shared" si="2"/>
        <v>1020.5</v>
      </c>
      <c r="K14" s="24">
        <v>139</v>
      </c>
      <c r="L14" s="24">
        <v>1807</v>
      </c>
      <c r="M14" s="24">
        <v>0</v>
      </c>
      <c r="N14" s="24">
        <v>0</v>
      </c>
      <c r="O14" s="24">
        <v>1807</v>
      </c>
      <c r="P14" s="18">
        <v>2579.6</v>
      </c>
      <c r="Q14" s="18">
        <f t="shared" si="3"/>
        <v>4386.6000000000004</v>
      </c>
      <c r="R14" s="17">
        <f t="shared" si="13"/>
        <v>13940</v>
      </c>
      <c r="S14" s="18">
        <f t="shared" si="4"/>
        <v>9553.4</v>
      </c>
      <c r="T14" s="24">
        <v>159</v>
      </c>
      <c r="U14" s="24">
        <v>5247</v>
      </c>
      <c r="V14" s="19">
        <v>5494.5</v>
      </c>
      <c r="W14" s="19">
        <f t="shared" si="5"/>
        <v>10741.5</v>
      </c>
      <c r="X14" s="28">
        <f>W14/33</f>
        <v>325.5</v>
      </c>
      <c r="Y14" s="19">
        <f>-W14*Y4</f>
        <v>-10741.5</v>
      </c>
      <c r="Z14" s="24"/>
      <c r="AA14" s="21"/>
      <c r="AB14" s="18">
        <f t="shared" si="6"/>
        <v>0</v>
      </c>
      <c r="AC14" s="100">
        <f t="shared" si="7"/>
        <v>0</v>
      </c>
      <c r="AD14" s="108">
        <f>J14+S14+Y14+AC14+AG14</f>
        <v>2703.6008286994543</v>
      </c>
      <c r="AE14" s="103">
        <f>E14</f>
        <v>33.333333333333329</v>
      </c>
      <c r="AF14" s="22">
        <f>X14*AE14/100</f>
        <v>108.49999999999999</v>
      </c>
      <c r="AG14" s="22">
        <f>AF14*AG4/AF60</f>
        <v>2871.2008286994546</v>
      </c>
      <c r="AH14" s="24">
        <f t="shared" si="9"/>
        <v>4296.5</v>
      </c>
      <c r="AI14" s="24">
        <f t="shared" si="0"/>
        <v>9543.5</v>
      </c>
      <c r="AJ14" s="24">
        <v>10588.3</v>
      </c>
      <c r="AK14" s="24">
        <f t="shared" si="10"/>
        <v>-1044.7999999999993</v>
      </c>
      <c r="AL14" s="24" t="s">
        <v>50</v>
      </c>
      <c r="AM14" s="24"/>
      <c r="AN14" s="24"/>
      <c r="AO14" s="24">
        <f t="shared" si="11"/>
        <v>0</v>
      </c>
      <c r="AP14" s="15"/>
      <c r="AQ14" s="15"/>
      <c r="AR14" s="15"/>
      <c r="AS14" s="15"/>
    </row>
    <row r="15" spans="1:47">
      <c r="A15" s="10" t="s">
        <v>51</v>
      </c>
      <c r="B15" s="11">
        <v>59</v>
      </c>
      <c r="C15" s="12">
        <v>61</v>
      </c>
      <c r="D15" s="11">
        <v>26</v>
      </c>
      <c r="E15" s="23">
        <v>44.067796610169488</v>
      </c>
      <c r="F15" s="14">
        <v>2489.5</v>
      </c>
      <c r="G15" s="17">
        <v>2490</v>
      </c>
      <c r="H15" s="17">
        <f t="shared" si="1"/>
        <v>4979.5</v>
      </c>
      <c r="I15" s="17">
        <f t="shared" ref="I15" si="19">I10</f>
        <v>6000</v>
      </c>
      <c r="J15" s="17">
        <f t="shared" si="2"/>
        <v>1020.5</v>
      </c>
      <c r="K15" s="24">
        <v>78</v>
      </c>
      <c r="L15" s="24">
        <v>1014</v>
      </c>
      <c r="M15" s="24">
        <v>0</v>
      </c>
      <c r="N15" s="24">
        <v>0</v>
      </c>
      <c r="O15" s="24">
        <v>1014</v>
      </c>
      <c r="P15" s="18">
        <v>1092</v>
      </c>
      <c r="Q15" s="18">
        <f t="shared" si="3"/>
        <v>2106</v>
      </c>
      <c r="R15" s="17">
        <f t="shared" si="13"/>
        <v>8840</v>
      </c>
      <c r="S15" s="18">
        <f t="shared" si="4"/>
        <v>6734</v>
      </c>
      <c r="T15" s="24">
        <v>0</v>
      </c>
      <c r="U15" s="24">
        <v>0</v>
      </c>
      <c r="V15" s="19">
        <v>0</v>
      </c>
      <c r="W15" s="19">
        <f t="shared" si="5"/>
        <v>0</v>
      </c>
      <c r="X15" s="19"/>
      <c r="Y15" s="19">
        <f>-W15</f>
        <v>0</v>
      </c>
      <c r="Z15" s="14"/>
      <c r="AA15" s="21">
        <v>0</v>
      </c>
      <c r="AB15" s="18">
        <f t="shared" si="6"/>
        <v>0</v>
      </c>
      <c r="AC15" s="100">
        <f t="shared" si="7"/>
        <v>0</v>
      </c>
      <c r="AD15" s="109">
        <f t="shared" si="8"/>
        <v>7754.5</v>
      </c>
      <c r="AE15" s="103"/>
      <c r="AF15" s="17"/>
      <c r="AG15" s="17"/>
      <c r="AH15" s="24">
        <f t="shared" si="9"/>
        <v>3503.5</v>
      </c>
      <c r="AI15" s="24">
        <f t="shared" si="0"/>
        <v>3503.5</v>
      </c>
      <c r="AJ15" s="24">
        <v>3660</v>
      </c>
      <c r="AK15" s="24">
        <f t="shared" si="10"/>
        <v>-156.5</v>
      </c>
      <c r="AL15" s="24"/>
      <c r="AM15" s="24"/>
      <c r="AN15" s="24"/>
      <c r="AO15" s="24">
        <f t="shared" si="11"/>
        <v>0</v>
      </c>
      <c r="AP15" s="15"/>
      <c r="AQ15" s="15"/>
      <c r="AR15" s="15"/>
      <c r="AS15" s="15"/>
    </row>
    <row r="16" spans="1:47">
      <c r="A16" s="12" t="s">
        <v>52</v>
      </c>
      <c r="B16" s="17">
        <v>2645</v>
      </c>
      <c r="C16" s="10">
        <v>1559</v>
      </c>
      <c r="D16" s="17">
        <v>1888</v>
      </c>
      <c r="E16" s="18">
        <v>71.379962192816635</v>
      </c>
      <c r="F16" s="24">
        <v>4980</v>
      </c>
      <c r="G16" s="11">
        <v>4980</v>
      </c>
      <c r="H16" s="17">
        <f t="shared" si="1"/>
        <v>9960</v>
      </c>
      <c r="I16" s="17">
        <f>7*I4</f>
        <v>42000</v>
      </c>
      <c r="J16" s="17">
        <f t="shared" si="2"/>
        <v>32040</v>
      </c>
      <c r="K16" s="24">
        <v>9316</v>
      </c>
      <c r="L16" s="24">
        <v>121108</v>
      </c>
      <c r="M16" s="24">
        <v>211</v>
      </c>
      <c r="N16" s="24">
        <v>654.1</v>
      </c>
      <c r="O16" s="24">
        <v>121762.1</v>
      </c>
      <c r="P16" s="18">
        <v>113502.39999999999</v>
      </c>
      <c r="Q16" s="18">
        <f t="shared" si="3"/>
        <v>235264.5</v>
      </c>
      <c r="R16" s="153">
        <f>'[2]Hovedfor. ens (3)'!R21</f>
        <v>379140</v>
      </c>
      <c r="S16" s="18">
        <f t="shared" si="4"/>
        <v>143875.5</v>
      </c>
      <c r="T16" s="24">
        <v>820.25</v>
      </c>
      <c r="U16" s="24">
        <v>27068.25</v>
      </c>
      <c r="V16" s="24">
        <v>31647</v>
      </c>
      <c r="W16" s="19">
        <f t="shared" si="5"/>
        <v>58715.25</v>
      </c>
      <c r="X16" s="28">
        <f>'[2]Hovedfor. ens (3)'!W14+'[2]Hovedfor. ens (3)'!W15</f>
        <v>892.24242424242425</v>
      </c>
      <c r="Y16" s="19">
        <f>-W16*Y4</f>
        <v>-58715.25</v>
      </c>
      <c r="Z16" s="24">
        <f>[2]Svømmetimetilskud!J5</f>
        <v>44503.305890378826</v>
      </c>
      <c r="AA16" s="32">
        <v>47575.693152736261</v>
      </c>
      <c r="AB16" s="18">
        <f t="shared" si="6"/>
        <v>92078.999043115095</v>
      </c>
      <c r="AC16" s="100">
        <f>-AB16/2</f>
        <v>-46039.499521557547</v>
      </c>
      <c r="AD16" s="109">
        <f>J16+S16+Y16+AC16+AG16</f>
        <v>88014.363401628099</v>
      </c>
      <c r="AE16" s="103">
        <f t="shared" ref="AE16:AE21" si="20">E16</f>
        <v>71.379962192816635</v>
      </c>
      <c r="AF16" s="17">
        <f>X16*AE16/100</f>
        <v>636.88230509251309</v>
      </c>
      <c r="AG16" s="17">
        <f>AF16*AG4/AF60</f>
        <v>16853.612923185647</v>
      </c>
      <c r="AH16" s="24">
        <f t="shared" si="9"/>
        <v>126742.1</v>
      </c>
      <c r="AI16" s="24">
        <f t="shared" si="0"/>
        <v>153810.35</v>
      </c>
      <c r="AJ16" s="24">
        <v>153035.6</v>
      </c>
      <c r="AK16" s="24">
        <f t="shared" si="10"/>
        <v>774.75</v>
      </c>
      <c r="AL16" s="24" t="s">
        <v>43</v>
      </c>
      <c r="AM16" s="144">
        <v>129004</v>
      </c>
      <c r="AN16" s="24"/>
      <c r="AO16" s="24">
        <f t="shared" si="11"/>
        <v>129004</v>
      </c>
      <c r="AP16" s="15"/>
      <c r="AQ16" s="15"/>
      <c r="AR16" s="15"/>
      <c r="AS16" s="15"/>
    </row>
    <row r="17" spans="1:45">
      <c r="A17" s="12" t="s">
        <v>53</v>
      </c>
      <c r="B17" s="17">
        <v>166</v>
      </c>
      <c r="C17" s="10">
        <v>177</v>
      </c>
      <c r="D17" s="17">
        <v>72</v>
      </c>
      <c r="E17" s="18">
        <v>43.373493975903614</v>
      </c>
      <c r="F17" s="24">
        <v>2489.5</v>
      </c>
      <c r="G17" s="11">
        <v>2490</v>
      </c>
      <c r="H17" s="17">
        <f t="shared" si="1"/>
        <v>4979.5</v>
      </c>
      <c r="I17" s="17">
        <f>I4</f>
        <v>6000</v>
      </c>
      <c r="J17" s="17">
        <f t="shared" si="2"/>
        <v>1020.5</v>
      </c>
      <c r="K17" s="24">
        <v>362</v>
      </c>
      <c r="L17" s="24">
        <v>4706</v>
      </c>
      <c r="M17" s="24">
        <v>28</v>
      </c>
      <c r="N17" s="24">
        <v>86.8</v>
      </c>
      <c r="O17" s="24">
        <v>4792.8</v>
      </c>
      <c r="P17" s="18">
        <v>6009.8</v>
      </c>
      <c r="Q17" s="18">
        <f t="shared" si="3"/>
        <v>10802.6</v>
      </c>
      <c r="R17" s="17">
        <f>R$4*D17</f>
        <v>24480</v>
      </c>
      <c r="S17" s="18">
        <f t="shared" si="4"/>
        <v>13677.4</v>
      </c>
      <c r="T17" s="24">
        <v>368</v>
      </c>
      <c r="U17" s="24">
        <v>12144</v>
      </c>
      <c r="V17" s="12">
        <v>11500.5</v>
      </c>
      <c r="W17" s="19">
        <f t="shared" si="5"/>
        <v>23644.5</v>
      </c>
      <c r="X17" s="28">
        <f>W17/33</f>
        <v>716.5</v>
      </c>
      <c r="Y17" s="19">
        <f>-W17*Y4</f>
        <v>-23644.5</v>
      </c>
      <c r="Z17" s="24"/>
      <c r="AA17" s="21"/>
      <c r="AB17" s="18">
        <f t="shared" si="6"/>
        <v>0</v>
      </c>
      <c r="AC17" s="100">
        <f t="shared" si="7"/>
        <v>0</v>
      </c>
      <c r="AD17" s="109">
        <f>J17+S17+Y17+AC17+AG17</f>
        <v>-722.76410244031467</v>
      </c>
      <c r="AE17" s="103">
        <f t="shared" si="20"/>
        <v>43.373493975903614</v>
      </c>
      <c r="AF17" s="17">
        <f>X17*AE17/100</f>
        <v>310.77108433734941</v>
      </c>
      <c r="AG17" s="17">
        <f>AF17*AG4/AF60</f>
        <v>8223.8358975596857</v>
      </c>
      <c r="AH17" s="24">
        <f t="shared" si="9"/>
        <v>7282.3</v>
      </c>
      <c r="AI17" s="24">
        <f t="shared" si="0"/>
        <v>19426.3</v>
      </c>
      <c r="AJ17" s="24">
        <v>19042.900000000001</v>
      </c>
      <c r="AK17" s="24">
        <f t="shared" si="10"/>
        <v>383.39999999999782</v>
      </c>
      <c r="AL17" s="24" t="s">
        <v>43</v>
      </c>
      <c r="AM17" s="24"/>
      <c r="AN17" s="145">
        <f>SUM(AN11:AN16)</f>
        <v>0</v>
      </c>
      <c r="AO17" s="24">
        <f t="shared" si="11"/>
        <v>0</v>
      </c>
      <c r="AP17" s="15"/>
      <c r="AQ17" s="15"/>
      <c r="AR17" s="15"/>
      <c r="AS17" s="15"/>
    </row>
    <row r="18" spans="1:45">
      <c r="A18" s="10" t="s">
        <v>54</v>
      </c>
      <c r="B18" s="11">
        <v>86</v>
      </c>
      <c r="C18" s="12">
        <v>88</v>
      </c>
      <c r="D18" s="11">
        <v>52</v>
      </c>
      <c r="E18" s="23">
        <v>60.465116279069761</v>
      </c>
      <c r="F18" s="10">
        <v>2489.5</v>
      </c>
      <c r="G18" s="17">
        <v>2490</v>
      </c>
      <c r="H18" s="17">
        <f t="shared" si="1"/>
        <v>4979.5</v>
      </c>
      <c r="I18" s="17">
        <f t="shared" ref="I18:I19" si="21">I5</f>
        <v>6000</v>
      </c>
      <c r="J18" s="17">
        <f t="shared" si="2"/>
        <v>1020.5</v>
      </c>
      <c r="K18" s="12">
        <v>300</v>
      </c>
      <c r="L18" s="12">
        <v>3900</v>
      </c>
      <c r="M18" s="12">
        <v>12</v>
      </c>
      <c r="N18" s="12">
        <v>37.200000000000003</v>
      </c>
      <c r="O18" s="12">
        <v>3937.2</v>
      </c>
      <c r="P18" s="18">
        <v>4286.3999999999996</v>
      </c>
      <c r="Q18" s="18">
        <f t="shared" si="3"/>
        <v>8223.5999999999985</v>
      </c>
      <c r="R18" s="17">
        <f t="shared" ref="R18:R19" si="22">R$4*D18</f>
        <v>17680</v>
      </c>
      <c r="S18" s="18">
        <f t="shared" si="4"/>
        <v>9456.4000000000015</v>
      </c>
      <c r="T18" s="12">
        <v>315</v>
      </c>
      <c r="U18" s="24">
        <v>10395</v>
      </c>
      <c r="V18" s="19">
        <v>10296</v>
      </c>
      <c r="W18" s="19">
        <f t="shared" si="5"/>
        <v>20691</v>
      </c>
      <c r="X18" s="28">
        <f>W18/33</f>
        <v>627</v>
      </c>
      <c r="Y18" s="19">
        <f>-W18*Y4</f>
        <v>-20691</v>
      </c>
      <c r="Z18" s="10"/>
      <c r="AA18" s="21">
        <v>0</v>
      </c>
      <c r="AB18" s="18">
        <f t="shared" si="6"/>
        <v>0</v>
      </c>
      <c r="AC18" s="100">
        <f t="shared" si="7"/>
        <v>0</v>
      </c>
      <c r="AD18" s="109">
        <f>J18+S18+Y18+AC18+AG18</f>
        <v>-181.66705402239313</v>
      </c>
      <c r="AE18" s="103">
        <f t="shared" si="20"/>
        <v>60.465116279069761</v>
      </c>
      <c r="AF18" s="17">
        <f>X18*AE18/100</f>
        <v>379.11627906976742</v>
      </c>
      <c r="AG18" s="17">
        <f>AF18*AG4/AF60</f>
        <v>10032.432945977605</v>
      </c>
      <c r="AH18" s="24">
        <f t="shared" si="9"/>
        <v>6426.7</v>
      </c>
      <c r="AI18" s="24">
        <f t="shared" si="0"/>
        <v>16821.7</v>
      </c>
      <c r="AJ18" s="24">
        <v>16210.7</v>
      </c>
      <c r="AK18" s="24">
        <f t="shared" si="10"/>
        <v>611</v>
      </c>
      <c r="AL18" s="24" t="s">
        <v>43</v>
      </c>
      <c r="AM18" s="144">
        <v>1700</v>
      </c>
      <c r="AN18" s="150">
        <v>542.35</v>
      </c>
      <c r="AO18" s="24">
        <f t="shared" si="11"/>
        <v>2242.35</v>
      </c>
      <c r="AP18" s="15"/>
      <c r="AQ18" s="15"/>
      <c r="AR18" s="15"/>
      <c r="AS18" s="15"/>
    </row>
    <row r="19" spans="1:45">
      <c r="A19" s="12" t="s">
        <v>55</v>
      </c>
      <c r="B19" s="17">
        <v>43</v>
      </c>
      <c r="C19" s="12">
        <v>43</v>
      </c>
      <c r="D19" s="17">
        <v>27</v>
      </c>
      <c r="E19" s="18">
        <v>62.790697674418603</v>
      </c>
      <c r="F19" s="18">
        <v>2490</v>
      </c>
      <c r="G19" s="17">
        <v>2490</v>
      </c>
      <c r="H19" s="17">
        <f t="shared" si="1"/>
        <v>4980</v>
      </c>
      <c r="I19" s="17">
        <f t="shared" si="21"/>
        <v>6000</v>
      </c>
      <c r="J19" s="17">
        <f t="shared" si="2"/>
        <v>1020</v>
      </c>
      <c r="K19" s="12">
        <v>135</v>
      </c>
      <c r="L19" s="18">
        <v>1755</v>
      </c>
      <c r="M19" s="18">
        <v>0</v>
      </c>
      <c r="N19" s="18">
        <v>0</v>
      </c>
      <c r="O19" s="18">
        <v>1755</v>
      </c>
      <c r="P19" s="18">
        <v>1755</v>
      </c>
      <c r="Q19" s="18">
        <f t="shared" si="3"/>
        <v>3510</v>
      </c>
      <c r="R19" s="17">
        <f t="shared" si="22"/>
        <v>9180</v>
      </c>
      <c r="S19" s="18">
        <f t="shared" si="4"/>
        <v>5670</v>
      </c>
      <c r="T19" s="18">
        <v>105</v>
      </c>
      <c r="U19" s="18">
        <v>0</v>
      </c>
      <c r="V19" s="19">
        <v>3465</v>
      </c>
      <c r="W19" s="19">
        <f t="shared" si="5"/>
        <v>3465</v>
      </c>
      <c r="X19" s="28">
        <f>W19/33</f>
        <v>105</v>
      </c>
      <c r="Y19" s="19">
        <f>-W19*Y4</f>
        <v>-3465</v>
      </c>
      <c r="Z19" s="12"/>
      <c r="AA19" s="21">
        <v>0</v>
      </c>
      <c r="AB19" s="18">
        <f t="shared" si="6"/>
        <v>0</v>
      </c>
      <c r="AC19" s="100">
        <f t="shared" si="7"/>
        <v>0</v>
      </c>
      <c r="AD19" s="108">
        <f>J19+S19+Y19+AC19+AG19</f>
        <v>4969.6906761039445</v>
      </c>
      <c r="AE19" s="103">
        <f t="shared" si="20"/>
        <v>62.790697674418603</v>
      </c>
      <c r="AF19" s="17">
        <f>X19*AE19/100</f>
        <v>65.930232558139537</v>
      </c>
      <c r="AG19" s="17">
        <f>AF19*AG4/AF60</f>
        <v>1744.690676103945</v>
      </c>
      <c r="AH19" s="24"/>
      <c r="AI19" s="24">
        <f t="shared" si="0"/>
        <v>0</v>
      </c>
      <c r="AJ19" s="24">
        <v>8651.5</v>
      </c>
      <c r="AK19" s="24">
        <f t="shared" si="10"/>
        <v>-8651.5</v>
      </c>
      <c r="AL19" s="24"/>
      <c r="AM19" s="24"/>
      <c r="AN19" s="24"/>
      <c r="AO19" s="24">
        <f t="shared" si="11"/>
        <v>0</v>
      </c>
      <c r="AP19" s="15"/>
      <c r="AQ19" s="15"/>
      <c r="AR19" s="15"/>
      <c r="AS19" s="15"/>
    </row>
    <row r="20" spans="1:45">
      <c r="A20" s="12" t="s">
        <v>56</v>
      </c>
      <c r="B20" s="17"/>
      <c r="C20" s="12"/>
      <c r="D20" s="17"/>
      <c r="E20" s="18"/>
      <c r="F20" s="24"/>
      <c r="G20" s="17"/>
      <c r="H20" s="17">
        <f t="shared" si="1"/>
        <v>0</v>
      </c>
      <c r="I20" s="17"/>
      <c r="J20" s="17"/>
      <c r="K20" s="24"/>
      <c r="L20" s="24"/>
      <c r="M20" s="24"/>
      <c r="N20" s="24"/>
      <c r="O20" s="24"/>
      <c r="P20" s="18"/>
      <c r="Q20" s="18">
        <f t="shared" si="3"/>
        <v>0</v>
      </c>
      <c r="R20" s="17">
        <f t="shared" ref="R20:R53" si="23">213*D20</f>
        <v>0</v>
      </c>
      <c r="S20" s="18">
        <f t="shared" si="4"/>
        <v>0</v>
      </c>
      <c r="T20" s="24"/>
      <c r="U20" s="24"/>
      <c r="V20" s="19"/>
      <c r="W20" s="19">
        <f t="shared" si="5"/>
        <v>0</v>
      </c>
      <c r="X20" s="19"/>
      <c r="Y20" s="19">
        <f>-W20</f>
        <v>0</v>
      </c>
      <c r="Z20" s="24"/>
      <c r="AA20" s="21"/>
      <c r="AB20" s="18">
        <f t="shared" si="6"/>
        <v>0</v>
      </c>
      <c r="AC20" s="100">
        <f t="shared" si="7"/>
        <v>0</v>
      </c>
      <c r="AD20" s="109">
        <f t="shared" si="8"/>
        <v>0</v>
      </c>
      <c r="AE20" s="103">
        <f t="shared" si="20"/>
        <v>0</v>
      </c>
      <c r="AF20" s="17"/>
      <c r="AG20" s="17"/>
      <c r="AH20" s="24">
        <f t="shared" si="9"/>
        <v>0</v>
      </c>
      <c r="AI20" s="24">
        <f t="shared" si="0"/>
        <v>0</v>
      </c>
      <c r="AJ20" s="24">
        <v>0</v>
      </c>
      <c r="AK20" s="24">
        <f t="shared" si="10"/>
        <v>0</v>
      </c>
      <c r="AL20" s="24"/>
      <c r="AM20" s="24"/>
      <c r="AN20" s="24"/>
      <c r="AO20" s="24">
        <f t="shared" si="11"/>
        <v>0</v>
      </c>
      <c r="AP20" s="15"/>
      <c r="AQ20" s="15"/>
      <c r="AR20" s="15"/>
      <c r="AS20" s="15"/>
    </row>
    <row r="21" spans="1:45">
      <c r="A21" s="12" t="s">
        <v>57</v>
      </c>
      <c r="B21" s="11">
        <v>24</v>
      </c>
      <c r="C21" s="12">
        <v>49</v>
      </c>
      <c r="D21" s="11">
        <v>8</v>
      </c>
      <c r="E21" s="23">
        <v>33.333333333333329</v>
      </c>
      <c r="F21" s="12">
        <v>2489.5</v>
      </c>
      <c r="G21" s="17">
        <v>2490</v>
      </c>
      <c r="H21" s="17">
        <f t="shared" si="1"/>
        <v>4979.5</v>
      </c>
      <c r="I21" s="17">
        <f>I4</f>
        <v>6000</v>
      </c>
      <c r="J21" s="17">
        <f t="shared" si="2"/>
        <v>1020.5</v>
      </c>
      <c r="K21" s="10">
        <v>55</v>
      </c>
      <c r="L21" s="10">
        <v>715</v>
      </c>
      <c r="M21" s="10">
        <v>18</v>
      </c>
      <c r="N21" s="10">
        <v>55.800000000000004</v>
      </c>
      <c r="O21" s="10">
        <v>770.8</v>
      </c>
      <c r="P21" s="18">
        <v>372.7</v>
      </c>
      <c r="Q21" s="18">
        <f t="shared" si="3"/>
        <v>1143.5</v>
      </c>
      <c r="R21" s="17">
        <f>R$4*D21</f>
        <v>2720</v>
      </c>
      <c r="S21" s="18">
        <f t="shared" si="4"/>
        <v>1576.5</v>
      </c>
      <c r="T21" s="12">
        <v>182</v>
      </c>
      <c r="U21" s="12">
        <v>6006</v>
      </c>
      <c r="V21" s="19">
        <v>6798</v>
      </c>
      <c r="W21" s="19">
        <f t="shared" si="5"/>
        <v>12804</v>
      </c>
      <c r="X21" s="20">
        <f>W21/33</f>
        <v>388</v>
      </c>
      <c r="Y21" s="19">
        <f>-W21*Y4</f>
        <v>-12804</v>
      </c>
      <c r="Z21" s="12"/>
      <c r="AA21" s="21"/>
      <c r="AB21" s="18">
        <f t="shared" si="6"/>
        <v>0</v>
      </c>
      <c r="AC21" s="100">
        <f t="shared" si="7"/>
        <v>0</v>
      </c>
      <c r="AD21" s="156">
        <f>J21+S21+Y21+AC21+AG21</f>
        <v>-6784.4933286163177</v>
      </c>
      <c r="AE21" s="103">
        <f t="shared" si="20"/>
        <v>33.333333333333329</v>
      </c>
      <c r="AF21" s="17">
        <f>X21*AE21/100</f>
        <v>129.33333333333331</v>
      </c>
      <c r="AG21" s="17">
        <f>AF21*AG4/AF60</f>
        <v>3422.5066713836818</v>
      </c>
      <c r="AH21" s="24">
        <f t="shared" si="9"/>
        <v>3260.3</v>
      </c>
      <c r="AI21" s="24">
        <f t="shared" si="0"/>
        <v>9266.2999999999993</v>
      </c>
      <c r="AJ21" s="24">
        <v>11059.1</v>
      </c>
      <c r="AK21" s="24">
        <f t="shared" si="10"/>
        <v>-1792.8000000000011</v>
      </c>
      <c r="AL21" s="24" t="s">
        <v>58</v>
      </c>
      <c r="AM21" s="145">
        <v>7190</v>
      </c>
      <c r="AN21" s="24"/>
      <c r="AO21" s="24">
        <f t="shared" si="11"/>
        <v>7190</v>
      </c>
      <c r="AP21" s="15"/>
      <c r="AQ21" s="15"/>
      <c r="AR21" s="15"/>
      <c r="AS21" s="15"/>
    </row>
    <row r="22" spans="1:45">
      <c r="A22" s="12" t="s">
        <v>59</v>
      </c>
      <c r="B22" s="17">
        <v>58</v>
      </c>
      <c r="C22" s="12">
        <v>53</v>
      </c>
      <c r="D22" s="17">
        <v>30</v>
      </c>
      <c r="E22" s="18">
        <v>51.724137931034484</v>
      </c>
      <c r="F22" s="24">
        <v>2489.5</v>
      </c>
      <c r="G22" s="17">
        <v>2490</v>
      </c>
      <c r="H22" s="17">
        <f t="shared" si="1"/>
        <v>4979.5</v>
      </c>
      <c r="I22" s="17">
        <f t="shared" ref="I22:I26" si="24">I5</f>
        <v>6000</v>
      </c>
      <c r="J22" s="17">
        <f t="shared" si="2"/>
        <v>1020.5</v>
      </c>
      <c r="K22" s="24">
        <v>120</v>
      </c>
      <c r="L22" s="24">
        <v>1560</v>
      </c>
      <c r="M22" s="24">
        <v>52</v>
      </c>
      <c r="N22" s="24">
        <v>161.20000000000002</v>
      </c>
      <c r="O22" s="24">
        <v>1721.2</v>
      </c>
      <c r="P22" s="18">
        <v>1749.6</v>
      </c>
      <c r="Q22" s="18">
        <f t="shared" si="3"/>
        <v>3470.8</v>
      </c>
      <c r="R22" s="17">
        <f t="shared" ref="R22:R23" si="25">R$4*D22</f>
        <v>10200</v>
      </c>
      <c r="S22" s="18">
        <f t="shared" si="4"/>
        <v>6729.2</v>
      </c>
      <c r="T22" s="24">
        <v>0</v>
      </c>
      <c r="U22" s="24">
        <v>0</v>
      </c>
      <c r="V22" s="19">
        <v>0</v>
      </c>
      <c r="W22" s="19">
        <f t="shared" si="5"/>
        <v>0</v>
      </c>
      <c r="X22" s="19"/>
      <c r="Y22" s="19">
        <f>-W22</f>
        <v>0</v>
      </c>
      <c r="Z22" s="24"/>
      <c r="AA22" s="21"/>
      <c r="AB22" s="18">
        <f t="shared" si="6"/>
        <v>0</v>
      </c>
      <c r="AC22" s="100">
        <f t="shared" si="7"/>
        <v>0</v>
      </c>
      <c r="AD22" s="109">
        <f t="shared" si="8"/>
        <v>7749.7</v>
      </c>
      <c r="AE22" s="103"/>
      <c r="AF22" s="17"/>
      <c r="AG22" s="17"/>
      <c r="AH22" s="24">
        <f t="shared" si="9"/>
        <v>4210.7</v>
      </c>
      <c r="AI22" s="24">
        <f t="shared" si="0"/>
        <v>4210.7</v>
      </c>
      <c r="AJ22" s="24">
        <v>4239.1000000000004</v>
      </c>
      <c r="AK22" s="24">
        <f t="shared" si="10"/>
        <v>-28.400000000000546</v>
      </c>
      <c r="AL22" s="24" t="s">
        <v>43</v>
      </c>
      <c r="AM22" s="24"/>
      <c r="AN22" s="24"/>
      <c r="AO22" s="24">
        <f t="shared" si="11"/>
        <v>0</v>
      </c>
      <c r="AP22" s="15"/>
      <c r="AQ22" s="15"/>
      <c r="AR22" s="15"/>
      <c r="AS22" s="15"/>
    </row>
    <row r="23" spans="1:45">
      <c r="A23" s="12" t="s">
        <v>60</v>
      </c>
      <c r="B23" s="11">
        <v>170</v>
      </c>
      <c r="C23" s="12">
        <v>106</v>
      </c>
      <c r="D23" s="11">
        <v>42</v>
      </c>
      <c r="E23" s="23">
        <v>24.705882352941178</v>
      </c>
      <c r="F23" s="12">
        <v>2489.5</v>
      </c>
      <c r="G23" s="17">
        <v>2490</v>
      </c>
      <c r="H23" s="17">
        <f t="shared" si="1"/>
        <v>4979.5</v>
      </c>
      <c r="I23" s="17">
        <f t="shared" si="24"/>
        <v>6000</v>
      </c>
      <c r="J23" s="17">
        <f t="shared" si="2"/>
        <v>1020.5</v>
      </c>
      <c r="K23" s="10">
        <v>78</v>
      </c>
      <c r="L23" s="10">
        <v>1014</v>
      </c>
      <c r="M23" s="10">
        <v>96</v>
      </c>
      <c r="N23" s="10">
        <v>297.60000000000002</v>
      </c>
      <c r="O23" s="10">
        <v>1311.6</v>
      </c>
      <c r="P23" s="18">
        <v>1575</v>
      </c>
      <c r="Q23" s="18">
        <f t="shared" si="3"/>
        <v>2886.6</v>
      </c>
      <c r="R23" s="17">
        <f t="shared" si="25"/>
        <v>14280</v>
      </c>
      <c r="S23" s="18">
        <f t="shared" si="4"/>
        <v>11393.4</v>
      </c>
      <c r="T23" s="12">
        <v>0</v>
      </c>
      <c r="U23" s="12">
        <v>0</v>
      </c>
      <c r="V23" s="19">
        <v>0</v>
      </c>
      <c r="W23" s="19">
        <f t="shared" si="5"/>
        <v>0</v>
      </c>
      <c r="X23" s="19"/>
      <c r="Y23" s="19">
        <f>-W23</f>
        <v>0</v>
      </c>
      <c r="Z23" s="12"/>
      <c r="AA23" s="21"/>
      <c r="AB23" s="18">
        <f t="shared" si="6"/>
        <v>0</v>
      </c>
      <c r="AC23" s="100">
        <f t="shared" si="7"/>
        <v>0</v>
      </c>
      <c r="AD23" s="109">
        <f t="shared" si="8"/>
        <v>12413.9</v>
      </c>
      <c r="AE23" s="103"/>
      <c r="AF23" s="17"/>
      <c r="AG23" s="17"/>
      <c r="AH23" s="24">
        <f t="shared" si="9"/>
        <v>3801.1</v>
      </c>
      <c r="AI23" s="24">
        <f t="shared" si="0"/>
        <v>3801.1</v>
      </c>
      <c r="AJ23" s="29">
        <v>4065</v>
      </c>
      <c r="AK23" s="24">
        <f t="shared" si="10"/>
        <v>-263.90000000000009</v>
      </c>
      <c r="AL23" s="24"/>
      <c r="AM23" s="24">
        <v>12275</v>
      </c>
      <c r="AN23" s="24"/>
      <c r="AO23" s="24"/>
      <c r="AP23" s="15"/>
      <c r="AQ23" s="15"/>
      <c r="AR23" s="15"/>
      <c r="AS23" s="15"/>
    </row>
    <row r="24" spans="1:45">
      <c r="A24" s="12" t="s">
        <v>61</v>
      </c>
      <c r="B24" s="11">
        <v>2136</v>
      </c>
      <c r="C24" s="12">
        <v>2089</v>
      </c>
      <c r="D24" s="11">
        <v>268</v>
      </c>
      <c r="E24" s="23">
        <v>12.54681647940075</v>
      </c>
      <c r="F24" s="12">
        <v>4980</v>
      </c>
      <c r="G24" s="17">
        <v>4980</v>
      </c>
      <c r="H24" s="17">
        <f t="shared" si="1"/>
        <v>9960</v>
      </c>
      <c r="I24" s="17">
        <f>I4</f>
        <v>6000</v>
      </c>
      <c r="J24" s="17">
        <f t="shared" si="2"/>
        <v>-3960</v>
      </c>
      <c r="K24" s="10">
        <v>0</v>
      </c>
      <c r="L24" s="10">
        <v>0</v>
      </c>
      <c r="M24" s="10">
        <v>0</v>
      </c>
      <c r="N24" s="10">
        <v>0</v>
      </c>
      <c r="O24" s="12">
        <v>0</v>
      </c>
      <c r="P24" s="18">
        <v>0</v>
      </c>
      <c r="Q24" s="18">
        <f t="shared" si="3"/>
        <v>0</v>
      </c>
      <c r="R24" s="17"/>
      <c r="S24" s="18">
        <f t="shared" si="4"/>
        <v>0</v>
      </c>
      <c r="T24" s="12">
        <v>0</v>
      </c>
      <c r="U24" s="12">
        <v>0</v>
      </c>
      <c r="V24" s="19">
        <v>0</v>
      </c>
      <c r="W24" s="19">
        <f t="shared" si="5"/>
        <v>0</v>
      </c>
      <c r="X24" s="19"/>
      <c r="Y24" s="19">
        <f>-W24</f>
        <v>0</v>
      </c>
      <c r="Z24" s="12"/>
      <c r="AA24" s="21"/>
      <c r="AB24" s="18">
        <f t="shared" si="6"/>
        <v>0</v>
      </c>
      <c r="AC24" s="100">
        <f t="shared" si="7"/>
        <v>0</v>
      </c>
      <c r="AD24" s="157">
        <f t="shared" si="8"/>
        <v>-3960</v>
      </c>
      <c r="AE24" s="103"/>
      <c r="AF24" s="17"/>
      <c r="AG24" s="17"/>
      <c r="AH24" s="24">
        <f t="shared" si="9"/>
        <v>4980</v>
      </c>
      <c r="AI24" s="24">
        <f t="shared" si="0"/>
        <v>4980</v>
      </c>
      <c r="AJ24" s="24">
        <v>4979</v>
      </c>
      <c r="AK24" s="24">
        <f t="shared" si="10"/>
        <v>1</v>
      </c>
      <c r="AL24" s="24" t="s">
        <v>43</v>
      </c>
      <c r="AM24" s="24"/>
      <c r="AN24" s="24"/>
      <c r="AO24" s="24">
        <f t="shared" si="11"/>
        <v>0</v>
      </c>
      <c r="AP24" s="15"/>
      <c r="AQ24" s="15"/>
      <c r="AR24" s="15"/>
      <c r="AS24" s="15"/>
    </row>
    <row r="25" spans="1:45">
      <c r="A25" s="12" t="s">
        <v>62</v>
      </c>
      <c r="B25" s="17">
        <v>408</v>
      </c>
      <c r="C25" s="12">
        <v>430</v>
      </c>
      <c r="D25" s="17">
        <v>339</v>
      </c>
      <c r="E25" s="18">
        <v>83.088235294117652</v>
      </c>
      <c r="F25" s="24">
        <v>4980</v>
      </c>
      <c r="G25" s="17">
        <v>4980</v>
      </c>
      <c r="H25" s="17">
        <f t="shared" si="1"/>
        <v>9960</v>
      </c>
      <c r="I25" s="17">
        <f t="shared" si="24"/>
        <v>6000</v>
      </c>
      <c r="J25" s="17">
        <f t="shared" si="2"/>
        <v>-3960</v>
      </c>
      <c r="K25" s="24">
        <v>1869</v>
      </c>
      <c r="L25" s="24">
        <v>24297</v>
      </c>
      <c r="M25" s="24">
        <v>163</v>
      </c>
      <c r="N25" s="24">
        <v>505.3</v>
      </c>
      <c r="O25" s="24">
        <v>24802.3</v>
      </c>
      <c r="P25" s="18">
        <v>26634.1</v>
      </c>
      <c r="Q25" s="18">
        <f t="shared" si="3"/>
        <v>51436.399999999994</v>
      </c>
      <c r="R25" s="17">
        <f>R$4*D25</f>
        <v>115260</v>
      </c>
      <c r="S25" s="18">
        <f t="shared" si="4"/>
        <v>63823.600000000006</v>
      </c>
      <c r="T25" s="24">
        <v>175</v>
      </c>
      <c r="U25" s="24">
        <v>5775</v>
      </c>
      <c r="V25" s="19">
        <v>5676</v>
      </c>
      <c r="W25" s="19">
        <f t="shared" si="5"/>
        <v>11451</v>
      </c>
      <c r="X25" s="19"/>
      <c r="Y25" s="19">
        <f>-W25*Y4</f>
        <v>-11451</v>
      </c>
      <c r="Z25" s="24"/>
      <c r="AA25" s="21"/>
      <c r="AB25" s="18">
        <f t="shared" si="6"/>
        <v>0</v>
      </c>
      <c r="AC25" s="100">
        <f t="shared" si="7"/>
        <v>0</v>
      </c>
      <c r="AD25" s="109">
        <f t="shared" si="8"/>
        <v>48412.600000000006</v>
      </c>
      <c r="AE25" s="103">
        <f>E25</f>
        <v>83.088235294117652</v>
      </c>
      <c r="AF25" s="17"/>
      <c r="AG25" s="17"/>
      <c r="AH25" s="24">
        <f t="shared" si="9"/>
        <v>29782.3</v>
      </c>
      <c r="AI25" s="24">
        <f t="shared" si="0"/>
        <v>35557.300000000003</v>
      </c>
      <c r="AJ25" s="24">
        <v>43067.9</v>
      </c>
      <c r="AK25" s="24">
        <f t="shared" si="10"/>
        <v>-7510.5999999999985</v>
      </c>
      <c r="AL25" s="24" t="s">
        <v>63</v>
      </c>
      <c r="AM25" s="24">
        <v>67085</v>
      </c>
      <c r="AN25" s="24"/>
      <c r="AO25" s="24">
        <f t="shared" si="11"/>
        <v>67085</v>
      </c>
      <c r="AP25" s="15"/>
      <c r="AQ25" s="15"/>
      <c r="AR25" s="15"/>
      <c r="AS25" s="15"/>
    </row>
    <row r="26" spans="1:45">
      <c r="A26" s="12" t="s">
        <v>64</v>
      </c>
      <c r="B26" s="17"/>
      <c r="C26" s="12">
        <v>873</v>
      </c>
      <c r="D26" s="17">
        <v>61</v>
      </c>
      <c r="E26" s="18">
        <f>D26/C26*100</f>
        <v>6.9873997709049256</v>
      </c>
      <c r="F26" s="24">
        <v>4980</v>
      </c>
      <c r="G26" s="17">
        <v>4980</v>
      </c>
      <c r="H26" s="17">
        <f t="shared" si="1"/>
        <v>9960</v>
      </c>
      <c r="I26" s="17">
        <f t="shared" si="24"/>
        <v>6000</v>
      </c>
      <c r="J26" s="17">
        <f t="shared" si="2"/>
        <v>-3960</v>
      </c>
      <c r="K26" s="24"/>
      <c r="L26" s="24"/>
      <c r="M26" s="24"/>
      <c r="N26" s="24"/>
      <c r="O26" s="18">
        <v>4267.8</v>
      </c>
      <c r="P26" s="18">
        <v>4267.8</v>
      </c>
      <c r="Q26" s="18">
        <f t="shared" si="3"/>
        <v>8535.6</v>
      </c>
      <c r="R26" s="17">
        <f>R$4*D26</f>
        <v>20740</v>
      </c>
      <c r="S26" s="18">
        <f t="shared" si="4"/>
        <v>12204.4</v>
      </c>
      <c r="T26" s="24"/>
      <c r="U26" s="24"/>
      <c r="V26" s="19">
        <v>0</v>
      </c>
      <c r="W26" s="19">
        <f t="shared" si="5"/>
        <v>0</v>
      </c>
      <c r="X26" s="19"/>
      <c r="Y26" s="19">
        <f>-W26</f>
        <v>0</v>
      </c>
      <c r="Z26" s="24"/>
      <c r="AA26" s="21">
        <v>0</v>
      </c>
      <c r="AB26" s="18">
        <f t="shared" si="6"/>
        <v>0</v>
      </c>
      <c r="AC26" s="100">
        <f t="shared" si="7"/>
        <v>0</v>
      </c>
      <c r="AD26" s="108">
        <f t="shared" si="8"/>
        <v>8244.4</v>
      </c>
      <c r="AE26" s="103"/>
      <c r="AF26" s="17"/>
      <c r="AG26" s="17"/>
      <c r="AH26" s="24">
        <f t="shared" si="9"/>
        <v>9247.7999999999993</v>
      </c>
      <c r="AI26" s="24">
        <f t="shared" si="0"/>
        <v>9247.7999999999993</v>
      </c>
      <c r="AJ26" s="24">
        <v>10435.4</v>
      </c>
      <c r="AK26" s="24">
        <f t="shared" si="10"/>
        <v>-1187.6000000000004</v>
      </c>
      <c r="AL26" s="24"/>
      <c r="AM26" s="24"/>
      <c r="AN26" s="24"/>
      <c r="AO26" s="24">
        <f t="shared" si="11"/>
        <v>0</v>
      </c>
      <c r="AP26" s="15"/>
      <c r="AQ26" s="15"/>
      <c r="AR26" s="15"/>
      <c r="AS26" s="15"/>
    </row>
    <row r="27" spans="1:45" ht="30">
      <c r="A27" s="60" t="s">
        <v>65</v>
      </c>
      <c r="B27" s="17"/>
      <c r="C27" s="12"/>
      <c r="D27" s="17"/>
      <c r="E27" s="18"/>
      <c r="F27" s="24"/>
      <c r="G27" s="17"/>
      <c r="H27" s="17">
        <f t="shared" si="1"/>
        <v>0</v>
      </c>
      <c r="I27" s="17"/>
      <c r="J27" s="17">
        <f t="shared" si="2"/>
        <v>0</v>
      </c>
      <c r="K27" s="24"/>
      <c r="L27" s="24"/>
      <c r="M27" s="24"/>
      <c r="N27" s="24"/>
      <c r="O27" s="24"/>
      <c r="P27" s="18"/>
      <c r="Q27" s="18">
        <f t="shared" si="3"/>
        <v>0</v>
      </c>
      <c r="R27" s="17">
        <f t="shared" si="23"/>
        <v>0</v>
      </c>
      <c r="S27" s="18">
        <f t="shared" si="4"/>
        <v>0</v>
      </c>
      <c r="T27" s="24"/>
      <c r="U27" s="24"/>
      <c r="V27" s="19"/>
      <c r="W27" s="19">
        <f t="shared" si="5"/>
        <v>0</v>
      </c>
      <c r="X27" s="19"/>
      <c r="Y27" s="19">
        <f>-W27</f>
        <v>0</v>
      </c>
      <c r="Z27" s="24"/>
      <c r="AA27" s="21"/>
      <c r="AB27" s="18">
        <f t="shared" si="6"/>
        <v>0</v>
      </c>
      <c r="AC27" s="100">
        <f t="shared" si="7"/>
        <v>0</v>
      </c>
      <c r="AD27" s="109">
        <f t="shared" si="8"/>
        <v>0</v>
      </c>
      <c r="AE27" s="103"/>
      <c r="AF27" s="17"/>
      <c r="AG27" s="17"/>
      <c r="AH27" s="24">
        <f t="shared" si="9"/>
        <v>0</v>
      </c>
      <c r="AI27" s="24">
        <f t="shared" si="0"/>
        <v>0</v>
      </c>
      <c r="AJ27" s="24">
        <v>0</v>
      </c>
      <c r="AK27" s="24">
        <f t="shared" si="10"/>
        <v>0</v>
      </c>
      <c r="AL27" s="24"/>
      <c r="AM27" s="24"/>
      <c r="AN27" s="24"/>
      <c r="AO27" s="24">
        <f t="shared" si="11"/>
        <v>0</v>
      </c>
      <c r="AP27" s="15"/>
      <c r="AQ27" s="15"/>
      <c r="AR27" s="15"/>
      <c r="AS27" s="15"/>
    </row>
    <row r="28" spans="1:45">
      <c r="A28" s="12" t="s">
        <v>66</v>
      </c>
      <c r="B28" s="17">
        <v>382</v>
      </c>
      <c r="C28" s="12">
        <v>385</v>
      </c>
      <c r="D28" s="17">
        <v>359</v>
      </c>
      <c r="E28" s="18">
        <v>93.979057591623032</v>
      </c>
      <c r="F28" s="24">
        <v>4980</v>
      </c>
      <c r="G28" s="17">
        <v>4980</v>
      </c>
      <c r="H28" s="17">
        <f t="shared" si="1"/>
        <v>9960</v>
      </c>
      <c r="I28" s="17">
        <f>I4</f>
        <v>6000</v>
      </c>
      <c r="J28" s="17">
        <f t="shared" si="2"/>
        <v>-3960</v>
      </c>
      <c r="K28" s="24">
        <v>2094</v>
      </c>
      <c r="L28" s="24">
        <v>27222</v>
      </c>
      <c r="M28" s="24">
        <v>60</v>
      </c>
      <c r="N28" s="24">
        <v>186</v>
      </c>
      <c r="O28" s="24">
        <v>27408</v>
      </c>
      <c r="P28" s="18">
        <v>26902.799999999999</v>
      </c>
      <c r="Q28" s="18">
        <f t="shared" si="3"/>
        <v>54310.8</v>
      </c>
      <c r="R28" s="17">
        <f>R$4*D28</f>
        <v>122060</v>
      </c>
      <c r="S28" s="18">
        <f t="shared" si="4"/>
        <v>67749.2</v>
      </c>
      <c r="T28" s="24">
        <v>1786</v>
      </c>
      <c r="U28" s="24">
        <v>58938</v>
      </c>
      <c r="V28" s="19">
        <v>54912</v>
      </c>
      <c r="W28" s="19">
        <f t="shared" si="5"/>
        <v>113850</v>
      </c>
      <c r="X28" s="28">
        <f>W28/33</f>
        <v>3450</v>
      </c>
      <c r="Y28" s="19">
        <f>-W28*Y4</f>
        <v>-113850</v>
      </c>
      <c r="Z28" s="24"/>
      <c r="AA28" s="21"/>
      <c r="AB28" s="18">
        <f t="shared" si="6"/>
        <v>0</v>
      </c>
      <c r="AC28" s="100">
        <f t="shared" si="7"/>
        <v>0</v>
      </c>
      <c r="AD28" s="109">
        <f>J28+S28+Y28+AC28+AG28</f>
        <v>35738.553062603081</v>
      </c>
      <c r="AE28" s="103">
        <f>E28</f>
        <v>93.979057591623032</v>
      </c>
      <c r="AF28" s="17">
        <f>X28*AE28/100</f>
        <v>3242.2774869109944</v>
      </c>
      <c r="AG28" s="17">
        <f>AF28*AG4/AF60</f>
        <v>85799.353062603084</v>
      </c>
      <c r="AH28" s="24">
        <f t="shared" si="9"/>
        <v>32388</v>
      </c>
      <c r="AI28" s="24">
        <f t="shared" si="0"/>
        <v>91326</v>
      </c>
      <c r="AJ28" s="24">
        <v>74137.8</v>
      </c>
      <c r="AK28" s="24">
        <f t="shared" si="10"/>
        <v>17188.199999999997</v>
      </c>
      <c r="AL28" s="24" t="s">
        <v>67</v>
      </c>
      <c r="AM28" s="24">
        <v>24100</v>
      </c>
      <c r="AN28" s="24"/>
      <c r="AO28" s="24">
        <f t="shared" si="11"/>
        <v>24100</v>
      </c>
      <c r="AP28" s="15"/>
      <c r="AQ28" s="15"/>
      <c r="AR28" s="15"/>
      <c r="AS28" s="15"/>
    </row>
    <row r="29" spans="1:45" ht="30">
      <c r="A29" s="60" t="s">
        <v>179</v>
      </c>
      <c r="B29" s="17"/>
      <c r="C29" s="12"/>
      <c r="D29" s="17"/>
      <c r="E29" s="18"/>
      <c r="F29" s="24"/>
      <c r="G29" s="17"/>
      <c r="H29" s="17">
        <f t="shared" si="1"/>
        <v>0</v>
      </c>
      <c r="I29" s="17"/>
      <c r="J29" s="17"/>
      <c r="K29" s="24"/>
      <c r="L29" s="24"/>
      <c r="M29" s="24"/>
      <c r="N29" s="24"/>
      <c r="O29" s="24"/>
      <c r="P29" s="18"/>
      <c r="Q29" s="18">
        <f t="shared" si="3"/>
        <v>0</v>
      </c>
      <c r="R29" s="17">
        <f t="shared" si="23"/>
        <v>0</v>
      </c>
      <c r="S29" s="18">
        <f t="shared" si="4"/>
        <v>0</v>
      </c>
      <c r="T29" s="24"/>
      <c r="U29" s="24"/>
      <c r="V29" s="19"/>
      <c r="W29" s="19">
        <f t="shared" si="5"/>
        <v>0</v>
      </c>
      <c r="X29" s="28"/>
      <c r="Y29" s="19">
        <f>-W29</f>
        <v>0</v>
      </c>
      <c r="Z29" s="24"/>
      <c r="AA29" s="21"/>
      <c r="AB29" s="18">
        <f t="shared" si="6"/>
        <v>0</v>
      </c>
      <c r="AC29" s="100">
        <f t="shared" si="7"/>
        <v>0</v>
      </c>
      <c r="AD29" s="109">
        <f t="shared" si="8"/>
        <v>0</v>
      </c>
      <c r="AE29" s="103">
        <f>E29</f>
        <v>0</v>
      </c>
      <c r="AF29" s="17">
        <f t="shared" ref="AF29" si="26">X29*AE29</f>
        <v>0</v>
      </c>
      <c r="AG29" s="17"/>
      <c r="AH29" s="24">
        <f t="shared" si="9"/>
        <v>0</v>
      </c>
      <c r="AI29" s="24">
        <f t="shared" si="0"/>
        <v>0</v>
      </c>
      <c r="AJ29" s="24">
        <v>0</v>
      </c>
      <c r="AK29" s="24">
        <f t="shared" si="10"/>
        <v>0</v>
      </c>
      <c r="AL29" s="24"/>
      <c r="AM29" s="24"/>
      <c r="AN29" s="24"/>
      <c r="AO29" s="24">
        <f t="shared" si="11"/>
        <v>0</v>
      </c>
      <c r="AP29" s="15"/>
      <c r="AQ29" s="15"/>
      <c r="AR29" s="15"/>
      <c r="AS29" s="15"/>
    </row>
    <row r="30" spans="1:45">
      <c r="A30" s="12" t="s">
        <v>68</v>
      </c>
      <c r="B30" s="17">
        <v>176</v>
      </c>
      <c r="C30" s="10">
        <v>191</v>
      </c>
      <c r="D30" s="17">
        <v>146</v>
      </c>
      <c r="E30" s="18">
        <v>82.954545454545453</v>
      </c>
      <c r="F30" s="24">
        <v>2489.5</v>
      </c>
      <c r="G30" s="17">
        <v>2490</v>
      </c>
      <c r="H30" s="17">
        <f t="shared" si="1"/>
        <v>4979.5</v>
      </c>
      <c r="I30" s="17">
        <f>I4</f>
        <v>6000</v>
      </c>
      <c r="J30" s="17">
        <f t="shared" si="2"/>
        <v>1020.5</v>
      </c>
      <c r="K30" s="24">
        <v>870</v>
      </c>
      <c r="L30" s="24">
        <v>11310</v>
      </c>
      <c r="M30" s="24">
        <v>6</v>
      </c>
      <c r="N30" s="24">
        <v>18.600000000000001</v>
      </c>
      <c r="O30" s="24">
        <v>11328.6</v>
      </c>
      <c r="P30" s="18">
        <v>9973</v>
      </c>
      <c r="Q30" s="18">
        <f t="shared" si="3"/>
        <v>21301.599999999999</v>
      </c>
      <c r="R30" s="17">
        <f>R$4*D30</f>
        <v>49640</v>
      </c>
      <c r="S30" s="18">
        <f t="shared" si="4"/>
        <v>28338.400000000001</v>
      </c>
      <c r="T30" s="24">
        <v>446</v>
      </c>
      <c r="U30" s="24">
        <v>14718</v>
      </c>
      <c r="V30" s="12">
        <v>17836.5</v>
      </c>
      <c r="W30" s="19">
        <f t="shared" si="5"/>
        <v>32554.5</v>
      </c>
      <c r="X30" s="20">
        <f>W30/33</f>
        <v>986.5</v>
      </c>
      <c r="Y30" s="19">
        <f>-W30*Y4</f>
        <v>-32554.5</v>
      </c>
      <c r="Z30" s="24"/>
      <c r="AA30" s="21"/>
      <c r="AB30" s="18">
        <f t="shared" si="6"/>
        <v>0</v>
      </c>
      <c r="AC30" s="100">
        <f t="shared" si="7"/>
        <v>0</v>
      </c>
      <c r="AD30" s="108">
        <f>J30+S30+Y30+AC30+AG30</f>
        <v>18460.044331627243</v>
      </c>
      <c r="AE30" s="103">
        <f>E30</f>
        <v>82.954545454545453</v>
      </c>
      <c r="AF30" s="17">
        <f>X30*AE30/100</f>
        <v>818.34659090909088</v>
      </c>
      <c r="AG30" s="17">
        <f>AF30*AG4/AF60</f>
        <v>21655.644331627242</v>
      </c>
      <c r="AH30" s="24">
        <f t="shared" si="9"/>
        <v>13818.1</v>
      </c>
      <c r="AI30" s="24">
        <f t="shared" si="0"/>
        <v>28536.1</v>
      </c>
      <c r="AJ30" s="24">
        <v>28561.9</v>
      </c>
      <c r="AK30" s="24">
        <f t="shared" si="10"/>
        <v>-25.80000000000291</v>
      </c>
      <c r="AL30" s="24" t="s">
        <v>43</v>
      </c>
      <c r="AM30" s="24">
        <v>30545</v>
      </c>
      <c r="AN30" s="24"/>
      <c r="AO30" s="24">
        <f t="shared" si="11"/>
        <v>30545</v>
      </c>
      <c r="AP30" s="15"/>
      <c r="AQ30" s="15"/>
      <c r="AR30" s="35"/>
      <c r="AS30" s="15"/>
    </row>
    <row r="31" spans="1:45">
      <c r="A31" s="12" t="s">
        <v>69</v>
      </c>
      <c r="B31" s="17">
        <v>184</v>
      </c>
      <c r="C31" s="12">
        <v>173</v>
      </c>
      <c r="D31" s="17">
        <v>20</v>
      </c>
      <c r="E31" s="18">
        <v>10.869565217391305</v>
      </c>
      <c r="F31" s="24">
        <v>2489.5</v>
      </c>
      <c r="G31" s="17">
        <v>2490</v>
      </c>
      <c r="H31" s="17">
        <f t="shared" si="1"/>
        <v>4979.5</v>
      </c>
      <c r="I31" s="17">
        <f>I4</f>
        <v>6000</v>
      </c>
      <c r="J31" s="17">
        <f t="shared" si="2"/>
        <v>1020.5</v>
      </c>
      <c r="K31" s="24">
        <v>114</v>
      </c>
      <c r="L31" s="24">
        <v>1482</v>
      </c>
      <c r="M31" s="24">
        <v>6</v>
      </c>
      <c r="N31" s="24">
        <v>18.600000000000001</v>
      </c>
      <c r="O31" s="24">
        <v>1500.6</v>
      </c>
      <c r="P31" s="18">
        <v>873</v>
      </c>
      <c r="Q31" s="18">
        <f t="shared" si="3"/>
        <v>2373.6</v>
      </c>
      <c r="R31" s="17">
        <f t="shared" ref="R31:R32" si="27">R$4*D31</f>
        <v>6800</v>
      </c>
      <c r="S31" s="18">
        <f t="shared" si="4"/>
        <v>4426.3999999999996</v>
      </c>
      <c r="T31" s="24">
        <v>48</v>
      </c>
      <c r="U31" s="24">
        <v>1584</v>
      </c>
      <c r="V31" s="19">
        <v>0</v>
      </c>
      <c r="W31" s="19">
        <f t="shared" si="5"/>
        <v>1584</v>
      </c>
      <c r="X31" s="19"/>
      <c r="Y31" s="19">
        <f>-W31*Y4</f>
        <v>-1584</v>
      </c>
      <c r="Z31" s="24">
        <f>[2]Svømmetimetilskud!J11</f>
        <v>620.86349478739248</v>
      </c>
      <c r="AA31" s="32">
        <v>650.34284974051502</v>
      </c>
      <c r="AB31" s="18">
        <f t="shared" si="6"/>
        <v>1271.2063445279075</v>
      </c>
      <c r="AC31" s="100">
        <f>-AB31/2</f>
        <v>-635.60317226395375</v>
      </c>
      <c r="AD31" s="108">
        <f t="shared" si="8"/>
        <v>3227.296827736046</v>
      </c>
      <c r="AE31" s="103">
        <f>E31</f>
        <v>10.869565217391305</v>
      </c>
      <c r="AF31" s="17"/>
      <c r="AG31" s="17"/>
      <c r="AH31" s="24">
        <f t="shared" si="9"/>
        <v>3990.1</v>
      </c>
      <c r="AI31" s="24">
        <f t="shared" si="0"/>
        <v>5574.1</v>
      </c>
      <c r="AJ31" s="24">
        <v>4885.3</v>
      </c>
      <c r="AK31" s="24">
        <f t="shared" si="10"/>
        <v>688.80000000000018</v>
      </c>
      <c r="AL31" s="24" t="s">
        <v>43</v>
      </c>
      <c r="AM31" s="24"/>
      <c r="AN31" s="24"/>
      <c r="AO31" s="24">
        <f t="shared" si="11"/>
        <v>0</v>
      </c>
      <c r="AP31" s="15"/>
      <c r="AQ31" s="15"/>
      <c r="AR31" s="15"/>
      <c r="AS31" s="15"/>
    </row>
    <row r="32" spans="1:45">
      <c r="A32" s="12" t="s">
        <v>70</v>
      </c>
      <c r="B32" s="17">
        <v>34</v>
      </c>
      <c r="C32" s="12">
        <v>33</v>
      </c>
      <c r="D32" s="17">
        <v>18</v>
      </c>
      <c r="E32" s="18">
        <v>52.941176470588239</v>
      </c>
      <c r="F32" s="24">
        <v>2489.5</v>
      </c>
      <c r="G32" s="17">
        <v>2490</v>
      </c>
      <c r="H32" s="17">
        <f t="shared" si="1"/>
        <v>4979.5</v>
      </c>
      <c r="I32" s="17">
        <f t="shared" ref="I32" si="28">I6</f>
        <v>6000</v>
      </c>
      <c r="J32" s="17">
        <f t="shared" si="2"/>
        <v>1020.5</v>
      </c>
      <c r="K32" s="24">
        <v>104</v>
      </c>
      <c r="L32" s="24">
        <v>1352</v>
      </c>
      <c r="M32" s="24">
        <v>3</v>
      </c>
      <c r="N32" s="24">
        <v>9.3000000000000007</v>
      </c>
      <c r="O32" s="24">
        <v>1361.3</v>
      </c>
      <c r="P32" s="18">
        <v>936</v>
      </c>
      <c r="Q32" s="18">
        <f t="shared" si="3"/>
        <v>2297.3000000000002</v>
      </c>
      <c r="R32" s="17">
        <f t="shared" si="27"/>
        <v>6120</v>
      </c>
      <c r="S32" s="18">
        <f t="shared" si="4"/>
        <v>3822.7</v>
      </c>
      <c r="T32" s="24">
        <v>0</v>
      </c>
      <c r="U32" s="24">
        <v>0</v>
      </c>
      <c r="V32" s="19">
        <v>0</v>
      </c>
      <c r="W32" s="19">
        <f t="shared" si="5"/>
        <v>0</v>
      </c>
      <c r="X32" s="19"/>
      <c r="Y32" s="19">
        <f>-W32</f>
        <v>0</v>
      </c>
      <c r="Z32" s="24"/>
      <c r="AA32" s="21"/>
      <c r="AB32" s="18">
        <f t="shared" si="6"/>
        <v>0</v>
      </c>
      <c r="AC32" s="100">
        <f t="shared" si="7"/>
        <v>0</v>
      </c>
      <c r="AD32" s="109">
        <f t="shared" si="8"/>
        <v>4843.2</v>
      </c>
      <c r="AE32" s="103"/>
      <c r="AF32" s="17"/>
      <c r="AG32" s="17"/>
      <c r="AH32" s="24">
        <f t="shared" si="9"/>
        <v>3850.8</v>
      </c>
      <c r="AI32" s="24">
        <f t="shared" si="0"/>
        <v>3850.8</v>
      </c>
      <c r="AJ32" s="24">
        <v>3384.7</v>
      </c>
      <c r="AK32" s="24">
        <f t="shared" si="10"/>
        <v>466.10000000000036</v>
      </c>
      <c r="AL32" s="24" t="s">
        <v>43</v>
      </c>
      <c r="AM32" s="24">
        <v>1200</v>
      </c>
      <c r="AN32" s="24"/>
      <c r="AO32" s="24">
        <f t="shared" si="11"/>
        <v>1200</v>
      </c>
      <c r="AP32" s="15"/>
      <c r="AQ32" s="15"/>
      <c r="AR32" s="15"/>
      <c r="AS32" s="15"/>
    </row>
    <row r="33" spans="1:45">
      <c r="A33" s="12" t="s">
        <v>71</v>
      </c>
      <c r="B33" s="17"/>
      <c r="C33" s="12"/>
      <c r="D33" s="17"/>
      <c r="E33" s="18"/>
      <c r="F33" s="24"/>
      <c r="G33" s="17"/>
      <c r="H33" s="17">
        <f t="shared" si="1"/>
        <v>0</v>
      </c>
      <c r="I33" s="17"/>
      <c r="J33" s="17">
        <f t="shared" si="2"/>
        <v>0</v>
      </c>
      <c r="K33" s="24"/>
      <c r="L33" s="24"/>
      <c r="M33" s="24"/>
      <c r="N33" s="24"/>
      <c r="O33" s="24"/>
      <c r="P33" s="18"/>
      <c r="Q33" s="18">
        <f t="shared" si="3"/>
        <v>0</v>
      </c>
      <c r="R33" s="17">
        <f t="shared" si="23"/>
        <v>0</v>
      </c>
      <c r="S33" s="18">
        <f t="shared" si="4"/>
        <v>0</v>
      </c>
      <c r="T33" s="24"/>
      <c r="U33" s="24"/>
      <c r="V33" s="19"/>
      <c r="W33" s="19">
        <f t="shared" si="5"/>
        <v>0</v>
      </c>
      <c r="X33" s="19"/>
      <c r="Y33" s="19">
        <f>-W33</f>
        <v>0</v>
      </c>
      <c r="Z33" s="24"/>
      <c r="AA33" s="21"/>
      <c r="AB33" s="18">
        <f t="shared" si="6"/>
        <v>0</v>
      </c>
      <c r="AC33" s="100">
        <f t="shared" si="7"/>
        <v>0</v>
      </c>
      <c r="AD33" s="109">
        <f t="shared" si="8"/>
        <v>0</v>
      </c>
      <c r="AE33" s="103"/>
      <c r="AF33" s="17"/>
      <c r="AG33" s="17"/>
      <c r="AH33" s="24">
        <f t="shared" si="9"/>
        <v>0</v>
      </c>
      <c r="AI33" s="24">
        <f t="shared" si="0"/>
        <v>0</v>
      </c>
      <c r="AJ33" s="24">
        <v>0</v>
      </c>
      <c r="AK33" s="24">
        <f t="shared" si="10"/>
        <v>0</v>
      </c>
      <c r="AL33" s="24"/>
      <c r="AM33" s="24"/>
      <c r="AN33" s="24"/>
      <c r="AO33" s="24">
        <f t="shared" si="11"/>
        <v>0</v>
      </c>
      <c r="AP33" s="15"/>
      <c r="AQ33" s="15"/>
      <c r="AR33" s="15"/>
      <c r="AS33" s="15"/>
    </row>
    <row r="34" spans="1:45">
      <c r="A34" s="12" t="s">
        <v>72</v>
      </c>
      <c r="B34" s="17"/>
      <c r="C34" s="12"/>
      <c r="D34" s="17"/>
      <c r="E34" s="18"/>
      <c r="F34" s="24">
        <v>2489.5</v>
      </c>
      <c r="G34" s="17"/>
      <c r="H34" s="17">
        <f t="shared" si="1"/>
        <v>2489.5</v>
      </c>
      <c r="I34" s="17">
        <f t="shared" ref="I34" si="29">I8</f>
        <v>6000</v>
      </c>
      <c r="J34" s="17">
        <f t="shared" si="2"/>
        <v>3510.5</v>
      </c>
      <c r="K34" s="24"/>
      <c r="L34" s="24"/>
      <c r="M34" s="24"/>
      <c r="N34" s="24"/>
      <c r="O34" s="24"/>
      <c r="P34" s="18"/>
      <c r="Q34" s="18">
        <f t="shared" si="3"/>
        <v>0</v>
      </c>
      <c r="R34" s="17">
        <f t="shared" si="23"/>
        <v>0</v>
      </c>
      <c r="S34" s="18">
        <f t="shared" si="4"/>
        <v>0</v>
      </c>
      <c r="T34" s="24"/>
      <c r="U34" s="24"/>
      <c r="V34" s="19"/>
      <c r="W34" s="19">
        <f t="shared" si="5"/>
        <v>0</v>
      </c>
      <c r="X34" s="19"/>
      <c r="Y34" s="19">
        <f>-W34</f>
        <v>0</v>
      </c>
      <c r="Z34" s="24"/>
      <c r="AA34" s="21"/>
      <c r="AB34" s="18">
        <f t="shared" si="6"/>
        <v>0</v>
      </c>
      <c r="AC34" s="100">
        <f t="shared" si="7"/>
        <v>0</v>
      </c>
      <c r="AD34" s="109">
        <f t="shared" si="8"/>
        <v>3510.5</v>
      </c>
      <c r="AE34" s="103"/>
      <c r="AF34" s="17"/>
      <c r="AG34" s="17"/>
      <c r="AH34" s="24"/>
      <c r="AI34" s="24">
        <f t="shared" si="0"/>
        <v>0</v>
      </c>
      <c r="AJ34" s="24">
        <v>5048.7</v>
      </c>
      <c r="AK34" s="24">
        <f t="shared" si="10"/>
        <v>-5048.7</v>
      </c>
      <c r="AL34" s="24"/>
      <c r="AM34" s="24"/>
      <c r="AN34" s="24"/>
      <c r="AO34" s="24">
        <f t="shared" si="11"/>
        <v>0</v>
      </c>
      <c r="AP34" s="15"/>
      <c r="AQ34" s="15"/>
      <c r="AR34" s="15"/>
      <c r="AS34" s="15"/>
    </row>
    <row r="35" spans="1:45">
      <c r="A35" s="12" t="s">
        <v>73</v>
      </c>
      <c r="B35" s="17">
        <v>121</v>
      </c>
      <c r="C35" s="12"/>
      <c r="D35" s="17">
        <v>10</v>
      </c>
      <c r="E35" s="18">
        <v>8.2644628099173563</v>
      </c>
      <c r="F35" s="24">
        <v>2489.5</v>
      </c>
      <c r="G35" s="17"/>
      <c r="H35" s="17">
        <f t="shared" si="1"/>
        <v>2489.5</v>
      </c>
      <c r="I35" s="17">
        <f t="shared" ref="I35" si="30">I8</f>
        <v>6000</v>
      </c>
      <c r="J35" s="17">
        <f t="shared" si="2"/>
        <v>3510.5</v>
      </c>
      <c r="K35" s="24">
        <v>42</v>
      </c>
      <c r="L35" s="24">
        <v>546</v>
      </c>
      <c r="M35" s="24">
        <v>18</v>
      </c>
      <c r="N35" s="24">
        <v>55.800000000000004</v>
      </c>
      <c r="O35" s="24">
        <v>601.79999999999995</v>
      </c>
      <c r="P35" s="18"/>
      <c r="Q35" s="18">
        <f t="shared" si="3"/>
        <v>601.79999999999995</v>
      </c>
      <c r="R35" s="17">
        <f>R$4*D35</f>
        <v>3400</v>
      </c>
      <c r="S35" s="18">
        <f t="shared" si="4"/>
        <v>2798.2</v>
      </c>
      <c r="T35" s="24">
        <v>15</v>
      </c>
      <c r="U35" s="24">
        <v>495</v>
      </c>
      <c r="V35" s="19"/>
      <c r="W35" s="19">
        <f t="shared" si="5"/>
        <v>495</v>
      </c>
      <c r="X35" s="19"/>
      <c r="Y35" s="19">
        <f>-W35*Y4</f>
        <v>-495</v>
      </c>
      <c r="Z35" s="24">
        <f>[2]Svømmetimetilskud!J13</f>
        <v>240.03127127233552</v>
      </c>
      <c r="AA35" s="36"/>
      <c r="AB35" s="18">
        <f t="shared" si="6"/>
        <v>240.03127127233552</v>
      </c>
      <c r="AC35" s="100">
        <f>-AB35/2</f>
        <v>-120.01563563616776</v>
      </c>
      <c r="AD35" s="109">
        <f t="shared" si="8"/>
        <v>5693.6843643638322</v>
      </c>
      <c r="AE35" s="103">
        <f>E35</f>
        <v>8.2644628099173563</v>
      </c>
      <c r="AF35" s="17"/>
      <c r="AG35" s="17"/>
      <c r="AH35" s="24">
        <f t="shared" si="9"/>
        <v>3091.3</v>
      </c>
      <c r="AI35" s="24">
        <f t="shared" si="0"/>
        <v>3586.3</v>
      </c>
      <c r="AJ35" s="24">
        <v>3679</v>
      </c>
      <c r="AK35" s="24">
        <f t="shared" si="10"/>
        <v>-92.699999999999818</v>
      </c>
      <c r="AL35" s="24" t="s">
        <v>43</v>
      </c>
      <c r="AM35" s="24">
        <v>999</v>
      </c>
      <c r="AN35" s="24"/>
      <c r="AO35" s="24">
        <f t="shared" si="11"/>
        <v>999</v>
      </c>
      <c r="AP35" s="15"/>
      <c r="AQ35" s="15"/>
      <c r="AR35" s="15"/>
      <c r="AS35" s="15"/>
    </row>
    <row r="36" spans="1:45">
      <c r="A36" s="12" t="s">
        <v>74</v>
      </c>
      <c r="B36" s="11">
        <v>245</v>
      </c>
      <c r="C36" s="10">
        <v>215</v>
      </c>
      <c r="D36" s="11">
        <v>41</v>
      </c>
      <c r="E36" s="23">
        <v>16.73469387755102</v>
      </c>
      <c r="F36" s="12">
        <v>2489.5</v>
      </c>
      <c r="G36" s="17">
        <v>2490</v>
      </c>
      <c r="H36" s="17">
        <f t="shared" si="1"/>
        <v>4979.5</v>
      </c>
      <c r="I36" s="17">
        <f t="shared" ref="I36" si="31">I10</f>
        <v>6000</v>
      </c>
      <c r="J36" s="17">
        <f t="shared" si="2"/>
        <v>1020.5</v>
      </c>
      <c r="K36" s="12">
        <v>246</v>
      </c>
      <c r="L36" s="12">
        <v>3198</v>
      </c>
      <c r="M36" s="12">
        <v>0</v>
      </c>
      <c r="N36" s="12">
        <v>0</v>
      </c>
      <c r="O36" s="12">
        <v>3198</v>
      </c>
      <c r="P36" s="18">
        <v>2964</v>
      </c>
      <c r="Q36" s="18">
        <f t="shared" si="3"/>
        <v>6162</v>
      </c>
      <c r="R36" s="17">
        <f t="shared" ref="R36:R38" si="32">R$4*D36</f>
        <v>13940</v>
      </c>
      <c r="S36" s="18">
        <f t="shared" si="4"/>
        <v>7778</v>
      </c>
      <c r="T36" s="12">
        <v>0</v>
      </c>
      <c r="U36" s="12">
        <v>0</v>
      </c>
      <c r="V36" s="12">
        <v>0</v>
      </c>
      <c r="W36" s="19">
        <f t="shared" si="5"/>
        <v>0</v>
      </c>
      <c r="X36" s="19"/>
      <c r="Y36" s="19">
        <f>-W36</f>
        <v>0</v>
      </c>
      <c r="Z36" s="12"/>
      <c r="AA36" s="21"/>
      <c r="AB36" s="18">
        <f t="shared" si="6"/>
        <v>0</v>
      </c>
      <c r="AC36" s="100">
        <f t="shared" si="7"/>
        <v>0</v>
      </c>
      <c r="AD36" s="109">
        <f t="shared" si="8"/>
        <v>8798.5</v>
      </c>
      <c r="AE36" s="103"/>
      <c r="AF36" s="17"/>
      <c r="AG36" s="17"/>
      <c r="AH36" s="24">
        <f t="shared" si="9"/>
        <v>5687.5</v>
      </c>
      <c r="AI36" s="24">
        <f t="shared" si="0"/>
        <v>5687.5</v>
      </c>
      <c r="AJ36" s="24">
        <v>5063.5</v>
      </c>
      <c r="AK36" s="24">
        <f t="shared" si="10"/>
        <v>624</v>
      </c>
      <c r="AL36" s="24" t="s">
        <v>43</v>
      </c>
      <c r="AM36" s="146">
        <v>16899.78</v>
      </c>
      <c r="AN36" s="147">
        <v>375</v>
      </c>
      <c r="AO36" s="24">
        <f t="shared" si="11"/>
        <v>17274.78</v>
      </c>
      <c r="AP36" s="15"/>
      <c r="AQ36" s="15"/>
      <c r="AR36" s="15"/>
      <c r="AS36" s="15"/>
    </row>
    <row r="37" spans="1:45">
      <c r="A37" s="12" t="s">
        <v>75</v>
      </c>
      <c r="B37" s="17">
        <v>60</v>
      </c>
      <c r="C37" s="12">
        <v>57</v>
      </c>
      <c r="D37" s="17">
        <v>17</v>
      </c>
      <c r="E37" s="18">
        <v>28.333333333333332</v>
      </c>
      <c r="F37" s="24">
        <v>2489.5</v>
      </c>
      <c r="G37" s="17">
        <v>2490</v>
      </c>
      <c r="H37" s="17">
        <f t="shared" si="1"/>
        <v>4979.5</v>
      </c>
      <c r="I37" s="17">
        <f t="shared" ref="I37" si="33">I10</f>
        <v>6000</v>
      </c>
      <c r="J37" s="17">
        <f t="shared" si="2"/>
        <v>1020.5</v>
      </c>
      <c r="K37" s="24">
        <v>90</v>
      </c>
      <c r="L37" s="24">
        <v>1170</v>
      </c>
      <c r="M37" s="24">
        <v>0</v>
      </c>
      <c r="N37" s="24">
        <v>0</v>
      </c>
      <c r="O37" s="24">
        <v>1170</v>
      </c>
      <c r="P37" s="18">
        <v>798.6</v>
      </c>
      <c r="Q37" s="18">
        <f t="shared" si="3"/>
        <v>1968.6</v>
      </c>
      <c r="R37" s="17">
        <f t="shared" si="32"/>
        <v>5780</v>
      </c>
      <c r="S37" s="18">
        <f t="shared" si="4"/>
        <v>3811.4</v>
      </c>
      <c r="T37" s="24">
        <v>0</v>
      </c>
      <c r="U37" s="24">
        <v>0</v>
      </c>
      <c r="V37" s="19">
        <v>0</v>
      </c>
      <c r="W37" s="19">
        <f t="shared" si="5"/>
        <v>0</v>
      </c>
      <c r="X37" s="19"/>
      <c r="Y37" s="19">
        <f>-W37</f>
        <v>0</v>
      </c>
      <c r="Z37" s="24"/>
      <c r="AA37" s="21"/>
      <c r="AB37" s="18">
        <f t="shared" si="6"/>
        <v>0</v>
      </c>
      <c r="AC37" s="100">
        <f t="shared" si="7"/>
        <v>0</v>
      </c>
      <c r="AD37" s="109">
        <f t="shared" si="8"/>
        <v>4831.8999999999996</v>
      </c>
      <c r="AE37" s="103"/>
      <c r="AF37" s="17"/>
      <c r="AG37" s="17"/>
      <c r="AH37" s="24">
        <f t="shared" si="9"/>
        <v>3659.5</v>
      </c>
      <c r="AI37" s="24">
        <f t="shared" ref="AI37:AI59" si="34">U37+AH37</f>
        <v>3659.5</v>
      </c>
      <c r="AJ37" s="24">
        <v>3236.1</v>
      </c>
      <c r="AK37" s="24">
        <f t="shared" si="10"/>
        <v>423.40000000000009</v>
      </c>
      <c r="AL37" s="24" t="s">
        <v>43</v>
      </c>
      <c r="AM37" s="24"/>
      <c r="AN37" s="24"/>
      <c r="AO37" s="24">
        <f t="shared" si="11"/>
        <v>0</v>
      </c>
      <c r="AP37" s="15"/>
      <c r="AQ37" s="15"/>
      <c r="AR37" s="15"/>
      <c r="AS37" s="15"/>
    </row>
    <row r="38" spans="1:45">
      <c r="A38" s="12" t="s">
        <v>76</v>
      </c>
      <c r="B38" s="17">
        <v>100</v>
      </c>
      <c r="C38" s="12">
        <v>92</v>
      </c>
      <c r="D38" s="17">
        <v>53</v>
      </c>
      <c r="E38" s="18">
        <v>53</v>
      </c>
      <c r="F38" s="24">
        <v>2489.5</v>
      </c>
      <c r="G38" s="17">
        <v>2490</v>
      </c>
      <c r="H38" s="17">
        <f t="shared" si="1"/>
        <v>4979.5</v>
      </c>
      <c r="I38" s="17">
        <f t="shared" ref="I38" si="35">I12</f>
        <v>6000</v>
      </c>
      <c r="J38" s="17">
        <f t="shared" si="2"/>
        <v>1020.5</v>
      </c>
      <c r="K38" s="24">
        <v>223</v>
      </c>
      <c r="L38" s="24">
        <v>2899</v>
      </c>
      <c r="M38" s="24">
        <v>5</v>
      </c>
      <c r="N38" s="24">
        <v>15.5</v>
      </c>
      <c r="O38" s="24">
        <v>2914.5</v>
      </c>
      <c r="P38" s="18">
        <v>2196.4</v>
      </c>
      <c r="Q38" s="18">
        <f t="shared" si="3"/>
        <v>5110.8999999999996</v>
      </c>
      <c r="R38" s="17">
        <f t="shared" si="32"/>
        <v>18020</v>
      </c>
      <c r="S38" s="18">
        <f t="shared" si="4"/>
        <v>12909.1</v>
      </c>
      <c r="T38" s="24">
        <v>47.5</v>
      </c>
      <c r="U38" s="24">
        <v>1567.5</v>
      </c>
      <c r="V38" s="19">
        <v>1485</v>
      </c>
      <c r="W38" s="19">
        <f t="shared" si="5"/>
        <v>3052.5</v>
      </c>
      <c r="X38" s="19"/>
      <c r="Y38" s="19">
        <f>-W38*Y4</f>
        <v>-3052.5</v>
      </c>
      <c r="Z38" s="24"/>
      <c r="AA38" s="21">
        <v>0</v>
      </c>
      <c r="AB38" s="18">
        <f t="shared" si="6"/>
        <v>0</v>
      </c>
      <c r="AC38" s="100">
        <f t="shared" si="7"/>
        <v>0</v>
      </c>
      <c r="AD38" s="108">
        <f t="shared" si="8"/>
        <v>10877.1</v>
      </c>
      <c r="AE38" s="103">
        <f>E38</f>
        <v>53</v>
      </c>
      <c r="AF38" s="22"/>
      <c r="AG38" s="22"/>
      <c r="AH38" s="24">
        <f t="shared" si="9"/>
        <v>5404</v>
      </c>
      <c r="AI38" s="24">
        <f t="shared" si="34"/>
        <v>6971.5</v>
      </c>
      <c r="AJ38" s="24">
        <v>7602.5</v>
      </c>
      <c r="AK38" s="24">
        <f t="shared" si="10"/>
        <v>-631</v>
      </c>
      <c r="AL38" s="24" t="s">
        <v>43</v>
      </c>
      <c r="AM38" s="24"/>
      <c r="AN38" s="24"/>
      <c r="AO38" s="24">
        <f t="shared" si="11"/>
        <v>0</v>
      </c>
      <c r="AP38" s="15"/>
      <c r="AQ38" s="15"/>
      <c r="AR38" s="15"/>
      <c r="AS38" s="15"/>
    </row>
    <row r="39" spans="1:45" ht="30">
      <c r="A39" s="60" t="s">
        <v>77</v>
      </c>
      <c r="B39" s="17"/>
      <c r="C39" s="37"/>
      <c r="D39" s="17"/>
      <c r="E39" s="18"/>
      <c r="F39" s="24"/>
      <c r="G39" s="22"/>
      <c r="H39" s="17">
        <f t="shared" si="1"/>
        <v>0</v>
      </c>
      <c r="I39" s="17"/>
      <c r="J39" s="17">
        <f t="shared" si="2"/>
        <v>0</v>
      </c>
      <c r="K39" s="24"/>
      <c r="L39" s="24"/>
      <c r="M39" s="24"/>
      <c r="N39" s="24"/>
      <c r="O39" s="24"/>
      <c r="P39" s="130"/>
      <c r="Q39" s="18">
        <f t="shared" si="3"/>
        <v>0</v>
      </c>
      <c r="R39" s="17">
        <f t="shared" si="23"/>
        <v>0</v>
      </c>
      <c r="S39" s="18">
        <f t="shared" si="4"/>
        <v>0</v>
      </c>
      <c r="T39" s="24"/>
      <c r="U39" s="24"/>
      <c r="V39" s="132"/>
      <c r="W39" s="19">
        <f t="shared" si="5"/>
        <v>0</v>
      </c>
      <c r="X39" s="19"/>
      <c r="Y39" s="19">
        <f>-W39</f>
        <v>0</v>
      </c>
      <c r="Z39" s="24"/>
      <c r="AA39" s="37"/>
      <c r="AB39" s="18">
        <f t="shared" si="6"/>
        <v>0</v>
      </c>
      <c r="AC39" s="100">
        <f t="shared" si="7"/>
        <v>0</v>
      </c>
      <c r="AD39" s="109">
        <f t="shared" si="8"/>
        <v>0</v>
      </c>
      <c r="AE39" s="103">
        <f>E39</f>
        <v>0</v>
      </c>
      <c r="AF39" s="17"/>
      <c r="AG39" s="17"/>
      <c r="AH39" s="24">
        <f t="shared" si="9"/>
        <v>0</v>
      </c>
      <c r="AI39" s="24">
        <f t="shared" si="34"/>
        <v>0</v>
      </c>
      <c r="AJ39" s="24">
        <v>0</v>
      </c>
      <c r="AK39" s="24">
        <f t="shared" si="10"/>
        <v>0</v>
      </c>
      <c r="AL39" s="24"/>
      <c r="AM39" s="24"/>
      <c r="AN39" s="24"/>
      <c r="AO39" s="24">
        <f t="shared" si="11"/>
        <v>0</v>
      </c>
      <c r="AP39" s="15"/>
      <c r="AQ39" s="15"/>
      <c r="AR39" s="15"/>
      <c r="AS39" s="15"/>
    </row>
    <row r="40" spans="1:45">
      <c r="A40" s="12" t="s">
        <v>78</v>
      </c>
      <c r="B40" s="17">
        <v>107</v>
      </c>
      <c r="C40" s="12">
        <v>126</v>
      </c>
      <c r="D40" s="17">
        <v>83</v>
      </c>
      <c r="E40" s="18">
        <v>77.570093457943926</v>
      </c>
      <c r="F40" s="24">
        <v>2489.5</v>
      </c>
      <c r="G40" s="17">
        <v>2490</v>
      </c>
      <c r="H40" s="17">
        <f t="shared" si="1"/>
        <v>4979.5</v>
      </c>
      <c r="I40" s="17">
        <f>I4</f>
        <v>6000</v>
      </c>
      <c r="J40" s="17">
        <f t="shared" si="2"/>
        <v>1020.5</v>
      </c>
      <c r="K40" s="24">
        <v>505</v>
      </c>
      <c r="L40" s="24">
        <v>6565</v>
      </c>
      <c r="M40" s="24">
        <v>23</v>
      </c>
      <c r="N40" s="24">
        <v>71.3</v>
      </c>
      <c r="O40" s="24">
        <v>6636.3</v>
      </c>
      <c r="P40" s="18">
        <v>6230.2</v>
      </c>
      <c r="Q40" s="18">
        <f t="shared" si="3"/>
        <v>12866.5</v>
      </c>
      <c r="R40" s="17">
        <f>R$4*D40</f>
        <v>28220</v>
      </c>
      <c r="S40" s="18">
        <f t="shared" si="4"/>
        <v>15353.5</v>
      </c>
      <c r="T40" s="24">
        <v>0</v>
      </c>
      <c r="U40" s="24">
        <v>0</v>
      </c>
      <c r="V40" s="19">
        <v>0</v>
      </c>
      <c r="W40" s="19">
        <f t="shared" si="5"/>
        <v>0</v>
      </c>
      <c r="X40" s="19"/>
      <c r="Y40" s="19">
        <f>-W40</f>
        <v>0</v>
      </c>
      <c r="Z40" s="24"/>
      <c r="AA40" s="21"/>
      <c r="AB40" s="18">
        <f t="shared" si="6"/>
        <v>0</v>
      </c>
      <c r="AC40" s="100">
        <f t="shared" si="7"/>
        <v>0</v>
      </c>
      <c r="AD40" s="109">
        <f t="shared" si="8"/>
        <v>16374</v>
      </c>
      <c r="AE40" s="103"/>
      <c r="AF40" s="17"/>
      <c r="AG40" s="17"/>
      <c r="AH40" s="24">
        <f t="shared" si="9"/>
        <v>9125.7999999999993</v>
      </c>
      <c r="AI40" s="24">
        <f t="shared" si="34"/>
        <v>9125.7999999999993</v>
      </c>
      <c r="AJ40" s="24">
        <v>7014.8</v>
      </c>
      <c r="AK40" s="24">
        <f t="shared" si="10"/>
        <v>2110.9999999999991</v>
      </c>
      <c r="AL40" s="24" t="s">
        <v>79</v>
      </c>
      <c r="AM40" s="24"/>
      <c r="AN40" s="24"/>
      <c r="AO40" s="24">
        <f t="shared" si="11"/>
        <v>0</v>
      </c>
      <c r="AP40" s="15"/>
      <c r="AQ40" s="15"/>
      <c r="AR40" s="15"/>
      <c r="AS40" s="15"/>
    </row>
    <row r="41" spans="1:45">
      <c r="A41" s="12" t="s">
        <v>80</v>
      </c>
      <c r="B41" s="17">
        <v>153</v>
      </c>
      <c r="C41" s="12">
        <v>113</v>
      </c>
      <c r="D41" s="17">
        <v>109</v>
      </c>
      <c r="E41" s="18">
        <v>71.24183006535948</v>
      </c>
      <c r="F41" s="24">
        <v>2489.5</v>
      </c>
      <c r="G41" s="17">
        <v>2490</v>
      </c>
      <c r="H41" s="17">
        <f t="shared" si="1"/>
        <v>4979.5</v>
      </c>
      <c r="I41" s="17">
        <f>I4</f>
        <v>6000</v>
      </c>
      <c r="J41" s="17">
        <f t="shared" si="2"/>
        <v>1020.5</v>
      </c>
      <c r="K41" s="24">
        <v>597</v>
      </c>
      <c r="L41" s="24">
        <v>7761</v>
      </c>
      <c r="M41" s="24">
        <v>24</v>
      </c>
      <c r="N41" s="24">
        <v>74.400000000000006</v>
      </c>
      <c r="O41" s="24">
        <v>7835.4</v>
      </c>
      <c r="P41" s="18">
        <v>6589.2</v>
      </c>
      <c r="Q41" s="18">
        <f t="shared" si="3"/>
        <v>14424.599999999999</v>
      </c>
      <c r="R41" s="17">
        <f t="shared" ref="R41:R45" si="36">R$4*D41</f>
        <v>37060</v>
      </c>
      <c r="S41" s="18">
        <f t="shared" si="4"/>
        <v>22635.4</v>
      </c>
      <c r="T41" s="24">
        <v>0</v>
      </c>
      <c r="U41" s="24">
        <v>0</v>
      </c>
      <c r="V41" s="19">
        <v>0</v>
      </c>
      <c r="W41" s="19">
        <f t="shared" si="5"/>
        <v>0</v>
      </c>
      <c r="X41" s="19"/>
      <c r="Y41" s="19">
        <f>-W41</f>
        <v>0</v>
      </c>
      <c r="Z41" s="24"/>
      <c r="AA41" s="21"/>
      <c r="AB41" s="18">
        <f t="shared" si="6"/>
        <v>0</v>
      </c>
      <c r="AC41" s="100">
        <f t="shared" si="7"/>
        <v>0</v>
      </c>
      <c r="AD41" s="109">
        <f t="shared" si="8"/>
        <v>23655.9</v>
      </c>
      <c r="AE41" s="103"/>
      <c r="AF41" s="17"/>
      <c r="AG41" s="17"/>
      <c r="AH41" s="24">
        <f t="shared" si="9"/>
        <v>10324.9</v>
      </c>
      <c r="AI41" s="24">
        <f t="shared" si="34"/>
        <v>10324.9</v>
      </c>
      <c r="AJ41" s="24">
        <v>9745.5</v>
      </c>
      <c r="AK41" s="24">
        <f t="shared" si="10"/>
        <v>579.39999999999964</v>
      </c>
      <c r="AL41" s="24" t="s">
        <v>43</v>
      </c>
      <c r="AM41" s="24">
        <v>50878.14</v>
      </c>
      <c r="AN41" s="24">
        <v>3626</v>
      </c>
      <c r="AO41" s="24">
        <f t="shared" si="11"/>
        <v>54504.14</v>
      </c>
      <c r="AP41" s="15"/>
      <c r="AQ41" s="15"/>
      <c r="AR41" s="15"/>
      <c r="AS41" s="15"/>
    </row>
    <row r="42" spans="1:45">
      <c r="A42" s="12" t="s">
        <v>81</v>
      </c>
      <c r="B42" s="17">
        <v>149</v>
      </c>
      <c r="C42" s="12">
        <v>141</v>
      </c>
      <c r="D42" s="17">
        <v>76</v>
      </c>
      <c r="E42" s="18">
        <v>51.006711409395976</v>
      </c>
      <c r="F42" s="24">
        <v>2489.5</v>
      </c>
      <c r="G42" s="17">
        <v>2490</v>
      </c>
      <c r="H42" s="17">
        <f t="shared" si="1"/>
        <v>4979.5</v>
      </c>
      <c r="I42" s="17">
        <f t="shared" ref="I42" si="37">I6</f>
        <v>6000</v>
      </c>
      <c r="J42" s="17">
        <f t="shared" si="2"/>
        <v>1020.5</v>
      </c>
      <c r="K42" s="24">
        <v>409</v>
      </c>
      <c r="L42" s="24">
        <v>5317</v>
      </c>
      <c r="M42" s="24">
        <v>42</v>
      </c>
      <c r="N42" s="24">
        <v>130.20000000000002</v>
      </c>
      <c r="O42" s="24">
        <v>5447.2</v>
      </c>
      <c r="P42" s="18">
        <v>5085</v>
      </c>
      <c r="Q42" s="18">
        <f t="shared" si="3"/>
        <v>10532.2</v>
      </c>
      <c r="R42" s="17">
        <f t="shared" si="36"/>
        <v>25840</v>
      </c>
      <c r="S42" s="18">
        <f t="shared" si="4"/>
        <v>15307.8</v>
      </c>
      <c r="T42" s="24">
        <v>34.5</v>
      </c>
      <c r="U42" s="24">
        <v>1138.5</v>
      </c>
      <c r="V42" s="19">
        <v>1485</v>
      </c>
      <c r="W42" s="19">
        <f t="shared" si="5"/>
        <v>2623.5</v>
      </c>
      <c r="X42" s="19"/>
      <c r="Y42" s="19">
        <f>-W42*Y4</f>
        <v>-2623.5</v>
      </c>
      <c r="Z42" s="24"/>
      <c r="AA42" s="21"/>
      <c r="AB42" s="18">
        <f t="shared" si="6"/>
        <v>0</v>
      </c>
      <c r="AC42" s="100">
        <f t="shared" si="7"/>
        <v>0</v>
      </c>
      <c r="AD42" s="108">
        <f t="shared" si="8"/>
        <v>13704.8</v>
      </c>
      <c r="AE42" s="103">
        <f>E42</f>
        <v>51.006711409395976</v>
      </c>
      <c r="AF42" s="22"/>
      <c r="AG42" s="22"/>
      <c r="AH42" s="24">
        <f t="shared" si="9"/>
        <v>7936.7</v>
      </c>
      <c r="AI42" s="24">
        <f t="shared" si="34"/>
        <v>9075.2000000000007</v>
      </c>
      <c r="AJ42" s="24">
        <v>9457.9</v>
      </c>
      <c r="AK42" s="24">
        <f t="shared" si="10"/>
        <v>-382.69999999999891</v>
      </c>
      <c r="AL42" s="24"/>
      <c r="AM42" s="24"/>
      <c r="AN42" s="24"/>
      <c r="AO42" s="24">
        <f t="shared" si="11"/>
        <v>0</v>
      </c>
      <c r="AP42" s="15"/>
      <c r="AQ42" s="15"/>
      <c r="AR42" s="15"/>
      <c r="AS42" s="15"/>
    </row>
    <row r="43" spans="1:45">
      <c r="A43" s="12" t="s">
        <v>82</v>
      </c>
      <c r="B43" s="17">
        <v>261</v>
      </c>
      <c r="C43" s="12">
        <v>244</v>
      </c>
      <c r="D43" s="17">
        <v>70</v>
      </c>
      <c r="E43" s="18">
        <v>26.819923371647509</v>
      </c>
      <c r="F43" s="24">
        <v>2489.5</v>
      </c>
      <c r="G43" s="17">
        <v>2490</v>
      </c>
      <c r="H43" s="17">
        <f t="shared" si="1"/>
        <v>4979.5</v>
      </c>
      <c r="I43" s="17">
        <f t="shared" ref="I43" si="38">I6</f>
        <v>6000</v>
      </c>
      <c r="J43" s="17">
        <f t="shared" si="2"/>
        <v>1020.5</v>
      </c>
      <c r="K43" s="24">
        <v>366</v>
      </c>
      <c r="L43" s="24">
        <v>4758</v>
      </c>
      <c r="M43" s="24">
        <v>54</v>
      </c>
      <c r="N43" s="24">
        <v>167.4</v>
      </c>
      <c r="O43" s="24">
        <v>4925.3999999999996</v>
      </c>
      <c r="P43" s="18">
        <v>5512.2</v>
      </c>
      <c r="Q43" s="18">
        <f t="shared" si="3"/>
        <v>10437.599999999999</v>
      </c>
      <c r="R43" s="17">
        <f t="shared" si="36"/>
        <v>23800</v>
      </c>
      <c r="S43" s="18">
        <f t="shared" si="4"/>
        <v>13362.400000000001</v>
      </c>
      <c r="T43" s="24">
        <v>0</v>
      </c>
      <c r="U43" s="24">
        <v>0</v>
      </c>
      <c r="V43" s="19">
        <v>0</v>
      </c>
      <c r="W43" s="19">
        <f t="shared" si="5"/>
        <v>0</v>
      </c>
      <c r="X43" s="19"/>
      <c r="Y43" s="19">
        <f>-W43</f>
        <v>0</v>
      </c>
      <c r="Z43" s="24">
        <f>[2]Svømmetimetilskud!J6</f>
        <v>2142.1181555980361</v>
      </c>
      <c r="AA43" s="32">
        <v>2074.9364639691153</v>
      </c>
      <c r="AB43" s="18">
        <f t="shared" si="6"/>
        <v>4217.0546195671513</v>
      </c>
      <c r="AC43" s="100">
        <f>-AB43/2</f>
        <v>-2108.5273097835757</v>
      </c>
      <c r="AD43" s="108">
        <f t="shared" si="8"/>
        <v>12274.372690216425</v>
      </c>
      <c r="AE43" s="103"/>
      <c r="AF43" s="22"/>
      <c r="AG43" s="22"/>
      <c r="AH43" s="24">
        <f t="shared" si="9"/>
        <v>7414.9</v>
      </c>
      <c r="AI43" s="24">
        <f t="shared" si="34"/>
        <v>7414.9</v>
      </c>
      <c r="AJ43" s="24">
        <v>7459.3</v>
      </c>
      <c r="AK43" s="24">
        <f t="shared" si="10"/>
        <v>-44.400000000000546</v>
      </c>
      <c r="AL43" s="24" t="s">
        <v>43</v>
      </c>
      <c r="AM43" s="24">
        <v>8546.9599999999991</v>
      </c>
      <c r="AN43" s="24"/>
      <c r="AO43" s="24">
        <f t="shared" si="11"/>
        <v>8546.9599999999991</v>
      </c>
      <c r="AP43" s="15"/>
      <c r="AQ43" s="15"/>
      <c r="AR43" s="15"/>
      <c r="AS43" s="15"/>
    </row>
    <row r="44" spans="1:45">
      <c r="A44" s="12" t="s">
        <v>83</v>
      </c>
      <c r="B44" s="11">
        <v>13</v>
      </c>
      <c r="C44" s="12">
        <v>12</v>
      </c>
      <c r="D44" s="11">
        <v>13</v>
      </c>
      <c r="E44" s="23">
        <v>100</v>
      </c>
      <c r="F44" s="14">
        <v>2489.5</v>
      </c>
      <c r="G44" s="17">
        <v>2490</v>
      </c>
      <c r="H44" s="17">
        <f t="shared" si="1"/>
        <v>4979.5</v>
      </c>
      <c r="I44" s="17">
        <f t="shared" ref="I44" si="39">I8</f>
        <v>6000</v>
      </c>
      <c r="J44" s="17">
        <f t="shared" si="2"/>
        <v>1020.5</v>
      </c>
      <c r="K44" s="24">
        <v>61</v>
      </c>
      <c r="L44" s="24">
        <v>793</v>
      </c>
      <c r="M44" s="24">
        <v>0</v>
      </c>
      <c r="N44" s="24">
        <v>0</v>
      </c>
      <c r="O44" s="24">
        <v>793</v>
      </c>
      <c r="P44" s="18">
        <v>624</v>
      </c>
      <c r="Q44" s="18">
        <f t="shared" si="3"/>
        <v>1417</v>
      </c>
      <c r="R44" s="17">
        <f t="shared" si="36"/>
        <v>4420</v>
      </c>
      <c r="S44" s="18">
        <f t="shared" si="4"/>
        <v>3003</v>
      </c>
      <c r="T44" s="24">
        <v>258</v>
      </c>
      <c r="U44" s="24">
        <v>8514</v>
      </c>
      <c r="V44" s="19">
        <v>6600</v>
      </c>
      <c r="W44" s="19">
        <f t="shared" si="5"/>
        <v>15114</v>
      </c>
      <c r="X44" s="19">
        <f>W44/33</f>
        <v>458</v>
      </c>
      <c r="Y44" s="19">
        <f>-W44*Y4</f>
        <v>-15114</v>
      </c>
      <c r="Z44" s="24"/>
      <c r="AA44" s="21"/>
      <c r="AB44" s="18">
        <f t="shared" si="6"/>
        <v>0</v>
      </c>
      <c r="AC44" s="100">
        <f t="shared" si="7"/>
        <v>0</v>
      </c>
      <c r="AD44" s="109">
        <f>J44+S44+Y44+AC44+AG44</f>
        <v>1029.4076455700488</v>
      </c>
      <c r="AE44" s="103">
        <f>E44</f>
        <v>100</v>
      </c>
      <c r="AF44" s="17">
        <f>X44*AE44/100</f>
        <v>458</v>
      </c>
      <c r="AG44" s="17">
        <f>AF44*AG4/AF60</f>
        <v>12119.907645570049</v>
      </c>
      <c r="AH44" s="24">
        <f t="shared" si="9"/>
        <v>3282.5</v>
      </c>
      <c r="AI44" s="24">
        <f t="shared" si="34"/>
        <v>11796.5</v>
      </c>
      <c r="AJ44" s="24">
        <v>11795.5</v>
      </c>
      <c r="AK44" s="24">
        <f t="shared" si="10"/>
        <v>1</v>
      </c>
      <c r="AL44" s="24"/>
      <c r="AM44" s="24"/>
      <c r="AN44" s="24"/>
      <c r="AO44" s="24">
        <f t="shared" si="11"/>
        <v>0</v>
      </c>
      <c r="AP44" s="15"/>
      <c r="AQ44" s="15"/>
      <c r="AR44" s="15"/>
      <c r="AS44" s="15"/>
    </row>
    <row r="45" spans="1:45">
      <c r="A45" s="12" t="s">
        <v>84</v>
      </c>
      <c r="B45" s="11">
        <v>11</v>
      </c>
      <c r="C45" s="12">
        <v>13</v>
      </c>
      <c r="D45" s="11">
        <v>10</v>
      </c>
      <c r="E45" s="23">
        <v>90.909090909090907</v>
      </c>
      <c r="F45" s="14">
        <v>2489.5</v>
      </c>
      <c r="G45" s="17">
        <v>2490</v>
      </c>
      <c r="H45" s="17">
        <f t="shared" si="1"/>
        <v>4979.5</v>
      </c>
      <c r="I45" s="17">
        <f t="shared" ref="I45" si="40">I8</f>
        <v>6000</v>
      </c>
      <c r="J45" s="17">
        <f t="shared" si="2"/>
        <v>1020.5</v>
      </c>
      <c r="K45" s="24">
        <v>58</v>
      </c>
      <c r="L45" s="24">
        <v>754</v>
      </c>
      <c r="M45" s="24">
        <v>2</v>
      </c>
      <c r="N45" s="24">
        <v>6.2</v>
      </c>
      <c r="O45" s="24">
        <v>760.2</v>
      </c>
      <c r="P45" s="18">
        <v>858</v>
      </c>
      <c r="Q45" s="18">
        <f t="shared" si="3"/>
        <v>1618.2</v>
      </c>
      <c r="R45" s="17">
        <f t="shared" si="36"/>
        <v>3400</v>
      </c>
      <c r="S45" s="18">
        <f t="shared" si="4"/>
        <v>1781.8</v>
      </c>
      <c r="T45" s="24">
        <v>0</v>
      </c>
      <c r="U45" s="24">
        <v>0</v>
      </c>
      <c r="V45" s="19">
        <v>0</v>
      </c>
      <c r="W45" s="19">
        <f t="shared" si="5"/>
        <v>0</v>
      </c>
      <c r="X45" s="19"/>
      <c r="Y45" s="19">
        <f>-W45</f>
        <v>0</v>
      </c>
      <c r="Z45" s="24"/>
      <c r="AA45" s="21"/>
      <c r="AB45" s="18">
        <f t="shared" si="6"/>
        <v>0</v>
      </c>
      <c r="AC45" s="100">
        <f t="shared" si="7"/>
        <v>0</v>
      </c>
      <c r="AD45" s="109">
        <f t="shared" si="8"/>
        <v>2802.3</v>
      </c>
      <c r="AE45" s="103"/>
      <c r="AF45" s="17"/>
      <c r="AG45" s="17"/>
      <c r="AH45" s="24">
        <f t="shared" si="9"/>
        <v>3249.7</v>
      </c>
      <c r="AI45" s="24">
        <f t="shared" si="34"/>
        <v>3249.7</v>
      </c>
      <c r="AJ45" s="24">
        <v>3269.5</v>
      </c>
      <c r="AK45" s="24">
        <f t="shared" si="10"/>
        <v>-19.800000000000182</v>
      </c>
      <c r="AL45" s="24"/>
      <c r="AM45" s="24"/>
      <c r="AN45" s="24"/>
      <c r="AO45" s="24">
        <f t="shared" si="11"/>
        <v>0</v>
      </c>
      <c r="AP45" s="15"/>
      <c r="AQ45" s="15"/>
      <c r="AR45" s="15"/>
      <c r="AS45" s="15"/>
    </row>
    <row r="46" spans="1:45">
      <c r="A46" s="12" t="s">
        <v>85</v>
      </c>
      <c r="B46" s="17"/>
      <c r="C46" s="12">
        <v>31</v>
      </c>
      <c r="D46" s="17"/>
      <c r="E46" s="18"/>
      <c r="F46" s="24"/>
      <c r="G46" s="17">
        <v>2490</v>
      </c>
      <c r="H46" s="17">
        <f t="shared" si="1"/>
        <v>2490</v>
      </c>
      <c r="I46" s="17">
        <f t="shared" ref="I46" si="41">I10</f>
        <v>6000</v>
      </c>
      <c r="J46" s="17">
        <f t="shared" si="2"/>
        <v>3510</v>
      </c>
      <c r="K46" s="24"/>
      <c r="L46" s="24"/>
      <c r="M46" s="24"/>
      <c r="N46" s="24"/>
      <c r="O46" s="24"/>
      <c r="P46" s="18">
        <v>1612</v>
      </c>
      <c r="Q46" s="18">
        <f t="shared" si="3"/>
        <v>1612</v>
      </c>
      <c r="R46" s="17">
        <f t="shared" si="23"/>
        <v>0</v>
      </c>
      <c r="S46" s="18">
        <f t="shared" si="4"/>
        <v>-1612</v>
      </c>
      <c r="T46" s="24"/>
      <c r="U46" s="24"/>
      <c r="V46" s="19">
        <v>0</v>
      </c>
      <c r="W46" s="19">
        <f t="shared" si="5"/>
        <v>0</v>
      </c>
      <c r="X46" s="19"/>
      <c r="Y46" s="19">
        <f>-W46</f>
        <v>0</v>
      </c>
      <c r="Z46" s="24"/>
      <c r="AA46" s="21"/>
      <c r="AB46" s="18">
        <f t="shared" si="6"/>
        <v>0</v>
      </c>
      <c r="AC46" s="100">
        <f t="shared" si="7"/>
        <v>0</v>
      </c>
      <c r="AD46" s="109">
        <f t="shared" si="8"/>
        <v>1898</v>
      </c>
      <c r="AE46" s="103"/>
      <c r="AF46" s="17"/>
      <c r="AG46" s="17"/>
      <c r="AH46" s="24">
        <f t="shared" si="9"/>
        <v>0</v>
      </c>
      <c r="AI46" s="24">
        <f t="shared" si="34"/>
        <v>0</v>
      </c>
      <c r="AJ46" s="24">
        <v>4153.5</v>
      </c>
      <c r="AK46" s="24">
        <f t="shared" si="10"/>
        <v>-4153.5</v>
      </c>
      <c r="AL46" s="24"/>
      <c r="AM46" s="24"/>
      <c r="AN46" s="24"/>
      <c r="AO46" s="24">
        <f t="shared" si="11"/>
        <v>0</v>
      </c>
      <c r="AP46" s="15"/>
      <c r="AQ46" s="15"/>
      <c r="AR46" s="15"/>
      <c r="AS46" s="15"/>
    </row>
    <row r="47" spans="1:45">
      <c r="A47" s="12" t="s">
        <v>86</v>
      </c>
      <c r="B47" s="17">
        <v>522</v>
      </c>
      <c r="C47" s="12">
        <v>537</v>
      </c>
      <c r="D47" s="17">
        <v>371</v>
      </c>
      <c r="E47" s="18">
        <v>71.072796934865906</v>
      </c>
      <c r="F47" s="12">
        <v>4980</v>
      </c>
      <c r="G47" s="17">
        <v>4980</v>
      </c>
      <c r="H47" s="17">
        <f t="shared" si="1"/>
        <v>9960</v>
      </c>
      <c r="I47" s="17">
        <f t="shared" ref="I47" si="42">I10</f>
        <v>6000</v>
      </c>
      <c r="J47" s="17">
        <f t="shared" si="2"/>
        <v>-3960</v>
      </c>
      <c r="K47" s="12">
        <v>1298</v>
      </c>
      <c r="L47" s="12">
        <v>16874</v>
      </c>
      <c r="M47" s="12">
        <v>8</v>
      </c>
      <c r="N47" s="12">
        <v>24.8</v>
      </c>
      <c r="O47" s="12">
        <v>16898.8</v>
      </c>
      <c r="P47" s="18">
        <v>17175.3</v>
      </c>
      <c r="Q47" s="18">
        <f t="shared" si="3"/>
        <v>34074.1</v>
      </c>
      <c r="R47" s="17">
        <f>R$4*D47</f>
        <v>126140</v>
      </c>
      <c r="S47" s="18">
        <f t="shared" si="4"/>
        <v>92065.9</v>
      </c>
      <c r="T47" s="12">
        <v>16</v>
      </c>
      <c r="U47" s="12">
        <v>528</v>
      </c>
      <c r="V47" s="19">
        <v>0</v>
      </c>
      <c r="W47" s="19">
        <f t="shared" si="5"/>
        <v>528</v>
      </c>
      <c r="X47" s="19"/>
      <c r="Y47" s="19">
        <f>-W47*Y4</f>
        <v>-528</v>
      </c>
      <c r="Z47" s="12"/>
      <c r="AA47" s="21">
        <v>0</v>
      </c>
      <c r="AB47" s="18">
        <f t="shared" si="6"/>
        <v>0</v>
      </c>
      <c r="AC47" s="100">
        <f t="shared" si="7"/>
        <v>0</v>
      </c>
      <c r="AD47" s="108">
        <f t="shared" si="8"/>
        <v>87577.9</v>
      </c>
      <c r="AE47" s="103">
        <f>E47</f>
        <v>71.072796934865906</v>
      </c>
      <c r="AF47" s="22"/>
      <c r="AG47" s="22"/>
      <c r="AH47" s="24">
        <f t="shared" si="9"/>
        <v>21878.799999999999</v>
      </c>
      <c r="AI47" s="24">
        <f t="shared" si="34"/>
        <v>22406.799999999999</v>
      </c>
      <c r="AJ47" s="24">
        <v>21876.3</v>
      </c>
      <c r="AK47" s="24">
        <f t="shared" si="10"/>
        <v>530.5</v>
      </c>
      <c r="AL47" s="24" t="s">
        <v>43</v>
      </c>
      <c r="AM47" s="148">
        <v>35124.699999999997</v>
      </c>
      <c r="AN47" s="24"/>
      <c r="AO47" s="24">
        <f t="shared" si="11"/>
        <v>35124.699999999997</v>
      </c>
      <c r="AP47" s="15"/>
      <c r="AQ47" s="15"/>
      <c r="AR47" s="38"/>
      <c r="AS47" s="15"/>
    </row>
    <row r="48" spans="1:45">
      <c r="A48" s="12" t="s">
        <v>87</v>
      </c>
      <c r="B48" s="17">
        <v>71</v>
      </c>
      <c r="C48" s="12"/>
      <c r="D48" s="17">
        <v>21</v>
      </c>
      <c r="E48" s="18">
        <v>29.577464788732392</v>
      </c>
      <c r="F48" s="24">
        <v>2489.5</v>
      </c>
      <c r="G48" s="17"/>
      <c r="H48" s="17">
        <f t="shared" si="1"/>
        <v>2489.5</v>
      </c>
      <c r="I48" s="17">
        <f t="shared" ref="I48" si="43">I12</f>
        <v>6000</v>
      </c>
      <c r="J48" s="17">
        <f t="shared" si="2"/>
        <v>3510.5</v>
      </c>
      <c r="K48" s="24">
        <v>90</v>
      </c>
      <c r="L48" s="24">
        <v>1170</v>
      </c>
      <c r="M48" s="24">
        <v>36</v>
      </c>
      <c r="N48" s="24">
        <v>111.60000000000001</v>
      </c>
      <c r="O48" s="24">
        <v>1281.5999999999999</v>
      </c>
      <c r="P48" s="18"/>
      <c r="Q48" s="18">
        <f t="shared" si="3"/>
        <v>1281.5999999999999</v>
      </c>
      <c r="R48" s="17">
        <f t="shared" ref="R48:R50" si="44">R$4*D48</f>
        <v>7140</v>
      </c>
      <c r="S48" s="18">
        <f t="shared" si="4"/>
        <v>5858.4</v>
      </c>
      <c r="T48" s="24">
        <v>0</v>
      </c>
      <c r="U48" s="24">
        <v>0</v>
      </c>
      <c r="V48" s="19"/>
      <c r="W48" s="19">
        <f t="shared" si="5"/>
        <v>0</v>
      </c>
      <c r="X48" s="19"/>
      <c r="Y48" s="19">
        <f>-W48</f>
        <v>0</v>
      </c>
      <c r="Z48" s="24"/>
      <c r="AA48" s="21">
        <v>0</v>
      </c>
      <c r="AB48" s="18">
        <f t="shared" si="6"/>
        <v>0</v>
      </c>
      <c r="AC48" s="100">
        <f t="shared" si="7"/>
        <v>0</v>
      </c>
      <c r="AD48" s="109">
        <f t="shared" si="8"/>
        <v>9368.9</v>
      </c>
      <c r="AE48" s="103"/>
      <c r="AF48" s="17"/>
      <c r="AG48" s="17"/>
      <c r="AH48" s="24">
        <f t="shared" si="9"/>
        <v>3771.1</v>
      </c>
      <c r="AI48" s="24">
        <f t="shared" si="34"/>
        <v>3771.1</v>
      </c>
      <c r="AJ48" s="24">
        <v>3667.3</v>
      </c>
      <c r="AK48" s="24">
        <f t="shared" si="10"/>
        <v>103.79999999999973</v>
      </c>
      <c r="AL48" s="24" t="s">
        <v>43</v>
      </c>
      <c r="AM48" s="24"/>
      <c r="AN48" s="24"/>
      <c r="AO48" s="24">
        <f t="shared" si="11"/>
        <v>0</v>
      </c>
      <c r="AP48" s="15"/>
      <c r="AQ48" s="15"/>
      <c r="AR48" s="15"/>
      <c r="AS48" s="15"/>
    </row>
    <row r="49" spans="1:45">
      <c r="A49" s="12" t="s">
        <v>88</v>
      </c>
      <c r="B49" s="11">
        <v>96</v>
      </c>
      <c r="C49" s="12">
        <v>73</v>
      </c>
      <c r="D49" s="11">
        <v>78</v>
      </c>
      <c r="E49" s="23">
        <v>81.25</v>
      </c>
      <c r="F49" s="12">
        <v>2489.5</v>
      </c>
      <c r="G49" s="17">
        <v>2490</v>
      </c>
      <c r="H49" s="17">
        <f t="shared" si="1"/>
        <v>4979.5</v>
      </c>
      <c r="I49" s="17">
        <f t="shared" ref="I49" si="45">I12</f>
        <v>6000</v>
      </c>
      <c r="J49" s="17">
        <f t="shared" si="2"/>
        <v>1020.5</v>
      </c>
      <c r="K49" s="12">
        <v>401</v>
      </c>
      <c r="L49" s="12">
        <v>5213</v>
      </c>
      <c r="M49" s="12">
        <v>12</v>
      </c>
      <c r="N49" s="12">
        <v>37.200000000000003</v>
      </c>
      <c r="O49" s="12">
        <v>5250.2</v>
      </c>
      <c r="P49" s="18">
        <v>4047.4</v>
      </c>
      <c r="Q49" s="18">
        <f t="shared" si="3"/>
        <v>9297.6</v>
      </c>
      <c r="R49" s="17">
        <f t="shared" si="44"/>
        <v>26520</v>
      </c>
      <c r="S49" s="18">
        <f t="shared" si="4"/>
        <v>17222.400000000001</v>
      </c>
      <c r="T49" s="12">
        <v>0</v>
      </c>
      <c r="U49" s="12">
        <v>0</v>
      </c>
      <c r="V49" s="19">
        <v>0</v>
      </c>
      <c r="W49" s="19">
        <f t="shared" si="5"/>
        <v>0</v>
      </c>
      <c r="X49" s="19"/>
      <c r="Y49" s="19">
        <f>-W49</f>
        <v>0</v>
      </c>
      <c r="Z49" s="12"/>
      <c r="AA49" s="21"/>
      <c r="AB49" s="18">
        <f t="shared" si="6"/>
        <v>0</v>
      </c>
      <c r="AC49" s="100">
        <f t="shared" si="7"/>
        <v>0</v>
      </c>
      <c r="AD49" s="109">
        <f t="shared" si="8"/>
        <v>18242.900000000001</v>
      </c>
      <c r="AE49" s="103"/>
      <c r="AF49" s="17"/>
      <c r="AG49" s="17"/>
      <c r="AH49" s="24">
        <f t="shared" si="9"/>
        <v>7739.7</v>
      </c>
      <c r="AI49" s="24">
        <f t="shared" si="34"/>
        <v>7739.7</v>
      </c>
      <c r="AJ49" s="24">
        <v>7199.3</v>
      </c>
      <c r="AK49" s="24">
        <f t="shared" si="10"/>
        <v>540.39999999999964</v>
      </c>
      <c r="AL49" s="24"/>
      <c r="AM49" s="24"/>
      <c r="AN49" s="24"/>
      <c r="AO49" s="24">
        <f t="shared" si="11"/>
        <v>0</v>
      </c>
      <c r="AP49" s="15"/>
      <c r="AQ49" s="15"/>
      <c r="AR49" s="15"/>
      <c r="AS49" s="15"/>
    </row>
    <row r="50" spans="1:45">
      <c r="A50" s="12" t="s">
        <v>89</v>
      </c>
      <c r="B50" s="17">
        <v>557</v>
      </c>
      <c r="C50" s="12">
        <v>631</v>
      </c>
      <c r="D50" s="17">
        <v>450</v>
      </c>
      <c r="E50" s="18">
        <v>80.789946140035909</v>
      </c>
      <c r="F50" s="24">
        <v>4980</v>
      </c>
      <c r="G50" s="17">
        <v>4980</v>
      </c>
      <c r="H50" s="17">
        <f t="shared" si="1"/>
        <v>9960</v>
      </c>
      <c r="I50" s="17">
        <f t="shared" ref="I50" si="46">I14</f>
        <v>6000</v>
      </c>
      <c r="J50" s="17">
        <f t="shared" si="2"/>
        <v>-3960</v>
      </c>
      <c r="K50" s="24">
        <v>2530</v>
      </c>
      <c r="L50" s="24">
        <v>32890</v>
      </c>
      <c r="M50" s="24">
        <v>142</v>
      </c>
      <c r="N50" s="24">
        <v>440.2</v>
      </c>
      <c r="O50" s="24">
        <v>33330.199999999997</v>
      </c>
      <c r="P50" s="18">
        <v>33472.400000000001</v>
      </c>
      <c r="Q50" s="18">
        <f t="shared" si="3"/>
        <v>66802.600000000006</v>
      </c>
      <c r="R50" s="17">
        <f t="shared" si="44"/>
        <v>153000</v>
      </c>
      <c r="S50" s="18">
        <f t="shared" si="4"/>
        <v>86197.4</v>
      </c>
      <c r="T50" s="24">
        <v>277</v>
      </c>
      <c r="U50" s="24">
        <v>9141</v>
      </c>
      <c r="V50" s="19">
        <v>14421</v>
      </c>
      <c r="W50" s="19">
        <f t="shared" si="5"/>
        <v>23562</v>
      </c>
      <c r="X50" s="19"/>
      <c r="Y50" s="19">
        <f>-W50*Y4</f>
        <v>-23562</v>
      </c>
      <c r="Z50" s="24"/>
      <c r="AA50" s="21"/>
      <c r="AB50" s="18">
        <f t="shared" si="6"/>
        <v>0</v>
      </c>
      <c r="AC50" s="100">
        <f t="shared" si="7"/>
        <v>0</v>
      </c>
      <c r="AD50" s="108">
        <f t="shared" si="8"/>
        <v>58675.399999999994</v>
      </c>
      <c r="AE50" s="103">
        <f>E50</f>
        <v>80.789946140035909</v>
      </c>
      <c r="AF50" s="22"/>
      <c r="AG50" s="22"/>
      <c r="AH50" s="24">
        <f t="shared" si="9"/>
        <v>38310.199999999997</v>
      </c>
      <c r="AI50" s="24">
        <f t="shared" si="34"/>
        <v>47451.199999999997</v>
      </c>
      <c r="AJ50" s="24">
        <v>44742.3</v>
      </c>
      <c r="AK50" s="24">
        <f t="shared" si="10"/>
        <v>2708.8999999999942</v>
      </c>
      <c r="AL50" s="24" t="s">
        <v>90</v>
      </c>
      <c r="AM50" s="24">
        <v>85400</v>
      </c>
      <c r="AN50" s="24"/>
      <c r="AO50" s="24">
        <f t="shared" si="11"/>
        <v>85400</v>
      </c>
      <c r="AP50" s="15"/>
      <c r="AQ50" s="15"/>
      <c r="AR50" s="15"/>
      <c r="AS50" s="15"/>
    </row>
    <row r="51" spans="1:45">
      <c r="A51" s="12" t="s">
        <v>91</v>
      </c>
      <c r="B51" s="17"/>
      <c r="C51" s="12"/>
      <c r="D51" s="17"/>
      <c r="E51" s="18"/>
      <c r="F51" s="24"/>
      <c r="G51" s="17"/>
      <c r="H51" s="17">
        <f t="shared" si="1"/>
        <v>0</v>
      </c>
      <c r="I51" s="17"/>
      <c r="J51" s="17">
        <f t="shared" si="2"/>
        <v>0</v>
      </c>
      <c r="K51" s="24"/>
      <c r="L51" s="24"/>
      <c r="M51" s="24"/>
      <c r="N51" s="24"/>
      <c r="O51" s="24"/>
      <c r="P51" s="18"/>
      <c r="Q51" s="18">
        <f t="shared" si="3"/>
        <v>0</v>
      </c>
      <c r="R51" s="17">
        <f t="shared" si="23"/>
        <v>0</v>
      </c>
      <c r="S51" s="18">
        <f t="shared" si="4"/>
        <v>0</v>
      </c>
      <c r="T51" s="24"/>
      <c r="U51" s="24"/>
      <c r="V51" s="19"/>
      <c r="W51" s="19">
        <f t="shared" si="5"/>
        <v>0</v>
      </c>
      <c r="X51" s="19"/>
      <c r="Y51" s="19">
        <f t="shared" ref="Y51:Y57" si="47">-W51</f>
        <v>0</v>
      </c>
      <c r="Z51" s="24"/>
      <c r="AA51" s="21"/>
      <c r="AB51" s="18">
        <f t="shared" si="6"/>
        <v>0</v>
      </c>
      <c r="AC51" s="100">
        <f t="shared" si="7"/>
        <v>0</v>
      </c>
      <c r="AD51" s="109">
        <f t="shared" si="8"/>
        <v>0</v>
      </c>
      <c r="AE51" s="103"/>
      <c r="AF51" s="17"/>
      <c r="AG51" s="17"/>
      <c r="AH51" s="24">
        <f t="shared" si="9"/>
        <v>0</v>
      </c>
      <c r="AI51" s="24">
        <f t="shared" si="34"/>
        <v>0</v>
      </c>
      <c r="AJ51" s="24">
        <v>2489.5</v>
      </c>
      <c r="AK51" s="24">
        <f t="shared" si="10"/>
        <v>-2489.5</v>
      </c>
      <c r="AL51" s="24"/>
      <c r="AM51" s="24"/>
      <c r="AN51" s="24"/>
      <c r="AO51" s="24">
        <f t="shared" si="11"/>
        <v>0</v>
      </c>
      <c r="AP51" s="15"/>
      <c r="AQ51" s="15"/>
      <c r="AR51" s="15"/>
      <c r="AS51" s="15"/>
    </row>
    <row r="52" spans="1:45">
      <c r="A52" s="12" t="s">
        <v>92</v>
      </c>
      <c r="B52" s="17">
        <v>615</v>
      </c>
      <c r="C52" s="12">
        <v>555</v>
      </c>
      <c r="D52" s="17">
        <v>216</v>
      </c>
      <c r="E52" s="18">
        <v>35.121951219512191</v>
      </c>
      <c r="F52" s="24">
        <v>4980</v>
      </c>
      <c r="G52" s="17">
        <v>4980</v>
      </c>
      <c r="H52" s="17">
        <f t="shared" si="1"/>
        <v>9960</v>
      </c>
      <c r="I52" s="17">
        <f>I4</f>
        <v>6000</v>
      </c>
      <c r="J52" s="17">
        <f t="shared" si="2"/>
        <v>-3960</v>
      </c>
      <c r="K52" s="24">
        <v>864</v>
      </c>
      <c r="L52" s="24">
        <v>11232</v>
      </c>
      <c r="M52" s="24">
        <v>0</v>
      </c>
      <c r="N52" s="24">
        <v>0</v>
      </c>
      <c r="O52" s="24">
        <v>11232</v>
      </c>
      <c r="P52" s="18">
        <v>9308</v>
      </c>
      <c r="Q52" s="18">
        <f t="shared" si="3"/>
        <v>20540</v>
      </c>
      <c r="R52" s="17">
        <f>R$4*D52</f>
        <v>73440</v>
      </c>
      <c r="S52" s="18">
        <f t="shared" si="4"/>
        <v>52900</v>
      </c>
      <c r="T52" s="24">
        <v>0</v>
      </c>
      <c r="U52" s="24">
        <v>0</v>
      </c>
      <c r="V52" s="19">
        <v>0</v>
      </c>
      <c r="W52" s="19">
        <f t="shared" si="5"/>
        <v>0</v>
      </c>
      <c r="X52" s="19"/>
      <c r="Y52" s="19">
        <f t="shared" si="47"/>
        <v>0</v>
      </c>
      <c r="Z52" s="24"/>
      <c r="AA52" s="21"/>
      <c r="AB52" s="18">
        <f t="shared" si="6"/>
        <v>0</v>
      </c>
      <c r="AC52" s="100">
        <f t="shared" si="7"/>
        <v>0</v>
      </c>
      <c r="AD52" s="108">
        <f t="shared" si="8"/>
        <v>48940</v>
      </c>
      <c r="AE52" s="103"/>
      <c r="AF52" s="22"/>
      <c r="AG52" s="22"/>
      <c r="AH52" s="24">
        <f t="shared" si="9"/>
        <v>16212</v>
      </c>
      <c r="AI52" s="24">
        <f t="shared" si="34"/>
        <v>16212</v>
      </c>
      <c r="AJ52" s="24">
        <v>13987.4</v>
      </c>
      <c r="AK52" s="24">
        <f t="shared" si="10"/>
        <v>2224.6000000000004</v>
      </c>
      <c r="AL52" s="24" t="s">
        <v>79</v>
      </c>
      <c r="AM52" s="24">
        <v>40058</v>
      </c>
      <c r="AN52" s="24">
        <v>200</v>
      </c>
      <c r="AO52" s="24">
        <f t="shared" si="11"/>
        <v>40258</v>
      </c>
      <c r="AP52" s="15"/>
      <c r="AQ52" s="15"/>
      <c r="AR52" s="15"/>
      <c r="AS52" s="15"/>
    </row>
    <row r="53" spans="1:45" ht="30">
      <c r="A53" s="60" t="s">
        <v>93</v>
      </c>
      <c r="B53" s="17"/>
      <c r="C53" s="12">
        <v>173</v>
      </c>
      <c r="D53" s="17"/>
      <c r="E53" s="18"/>
      <c r="F53" s="24"/>
      <c r="G53" s="11">
        <v>2490</v>
      </c>
      <c r="H53" s="17">
        <f t="shared" si="1"/>
        <v>2490</v>
      </c>
      <c r="I53" s="17">
        <f>I4</f>
        <v>6000</v>
      </c>
      <c r="J53" s="17">
        <f t="shared" si="2"/>
        <v>3510</v>
      </c>
      <c r="K53" s="24"/>
      <c r="L53" s="24"/>
      <c r="M53" s="24"/>
      <c r="N53" s="24"/>
      <c r="O53" s="24"/>
      <c r="P53" s="18">
        <v>596.5</v>
      </c>
      <c r="Q53" s="18">
        <f t="shared" si="3"/>
        <v>596.5</v>
      </c>
      <c r="R53" s="17">
        <f t="shared" si="23"/>
        <v>0</v>
      </c>
      <c r="S53" s="18">
        <f t="shared" si="4"/>
        <v>-596.5</v>
      </c>
      <c r="T53" s="24"/>
      <c r="U53" s="24"/>
      <c r="V53" s="12">
        <v>0</v>
      </c>
      <c r="W53" s="19">
        <f t="shared" si="5"/>
        <v>0</v>
      </c>
      <c r="X53" s="19"/>
      <c r="Y53" s="19">
        <f t="shared" si="47"/>
        <v>0</v>
      </c>
      <c r="Z53" s="24"/>
      <c r="AA53" s="21"/>
      <c r="AB53" s="18">
        <f t="shared" si="6"/>
        <v>0</v>
      </c>
      <c r="AC53" s="100">
        <f t="shared" si="7"/>
        <v>0</v>
      </c>
      <c r="AD53" s="109">
        <f t="shared" si="8"/>
        <v>2913.5</v>
      </c>
      <c r="AE53" s="103"/>
      <c r="AF53" s="17"/>
      <c r="AG53" s="17"/>
      <c r="AH53" s="24">
        <f t="shared" si="9"/>
        <v>0</v>
      </c>
      <c r="AI53" s="24">
        <f t="shared" si="34"/>
        <v>0</v>
      </c>
      <c r="AJ53" s="24">
        <v>2489.5</v>
      </c>
      <c r="AK53" s="24">
        <f t="shared" si="10"/>
        <v>-2489.5</v>
      </c>
      <c r="AL53" s="24"/>
      <c r="AM53" s="24"/>
      <c r="AN53" s="24"/>
      <c r="AO53" s="24">
        <f t="shared" si="11"/>
        <v>0</v>
      </c>
      <c r="AP53" s="15"/>
      <c r="AQ53" s="15"/>
      <c r="AR53" s="15"/>
      <c r="AS53" s="15"/>
    </row>
    <row r="54" spans="1:45">
      <c r="A54" s="12" t="s">
        <v>94</v>
      </c>
      <c r="B54" s="11">
        <v>58</v>
      </c>
      <c r="C54" s="10">
        <v>58</v>
      </c>
      <c r="D54" s="11">
        <v>11</v>
      </c>
      <c r="E54" s="23">
        <v>18.96551724137931</v>
      </c>
      <c r="F54" s="12">
        <v>2489.5</v>
      </c>
      <c r="G54" s="11">
        <v>2490</v>
      </c>
      <c r="H54" s="17">
        <f t="shared" si="1"/>
        <v>4979.5</v>
      </c>
      <c r="I54" s="17">
        <f t="shared" ref="I54:I57" si="48">I5</f>
        <v>6000</v>
      </c>
      <c r="J54" s="17">
        <f t="shared" si="2"/>
        <v>1020.5</v>
      </c>
      <c r="K54" s="12">
        <v>66</v>
      </c>
      <c r="L54" s="12">
        <v>858</v>
      </c>
      <c r="M54" s="12">
        <v>0</v>
      </c>
      <c r="N54" s="12">
        <v>0</v>
      </c>
      <c r="O54" s="12">
        <v>858</v>
      </c>
      <c r="P54" s="18">
        <v>873.5</v>
      </c>
      <c r="Q54" s="18">
        <f t="shared" si="3"/>
        <v>1731.5</v>
      </c>
      <c r="R54" s="17">
        <f>R$4*D54</f>
        <v>3740</v>
      </c>
      <c r="S54" s="18">
        <f t="shared" si="4"/>
        <v>2008.5</v>
      </c>
      <c r="T54" s="12">
        <v>0</v>
      </c>
      <c r="U54" s="12">
        <v>0</v>
      </c>
      <c r="V54" s="12">
        <v>0</v>
      </c>
      <c r="W54" s="19">
        <f t="shared" si="5"/>
        <v>0</v>
      </c>
      <c r="X54" s="19"/>
      <c r="Y54" s="19">
        <f t="shared" si="47"/>
        <v>0</v>
      </c>
      <c r="Z54" s="12"/>
      <c r="AA54" s="21"/>
      <c r="AB54" s="18">
        <f t="shared" si="6"/>
        <v>0</v>
      </c>
      <c r="AC54" s="100">
        <f t="shared" si="7"/>
        <v>0</v>
      </c>
      <c r="AD54" s="109">
        <f t="shared" si="8"/>
        <v>3029</v>
      </c>
      <c r="AE54" s="103"/>
      <c r="AF54" s="17"/>
      <c r="AG54" s="17"/>
      <c r="AH54" s="24">
        <f t="shared" si="9"/>
        <v>3347.5</v>
      </c>
      <c r="AI54" s="24">
        <f t="shared" si="34"/>
        <v>3347.5</v>
      </c>
      <c r="AJ54" s="24">
        <v>3392.7</v>
      </c>
      <c r="AK54" s="24">
        <f t="shared" si="10"/>
        <v>-45.199999999999818</v>
      </c>
      <c r="AL54" s="24" t="s">
        <v>43</v>
      </c>
      <c r="AM54" s="24"/>
      <c r="AN54" s="24"/>
      <c r="AO54" s="24">
        <f t="shared" si="11"/>
        <v>0</v>
      </c>
      <c r="AP54" s="15"/>
      <c r="AQ54" s="15"/>
      <c r="AR54" s="15"/>
      <c r="AS54" s="15"/>
    </row>
    <row r="55" spans="1:45">
      <c r="A55" s="12" t="s">
        <v>95</v>
      </c>
      <c r="B55" s="17">
        <v>258</v>
      </c>
      <c r="C55" s="12">
        <v>257</v>
      </c>
      <c r="D55" s="17">
        <v>26</v>
      </c>
      <c r="E55" s="18">
        <v>10.077519379844961</v>
      </c>
      <c r="F55" s="24">
        <v>2489.5</v>
      </c>
      <c r="G55" s="17">
        <v>2490</v>
      </c>
      <c r="H55" s="17">
        <f t="shared" si="1"/>
        <v>4979.5</v>
      </c>
      <c r="I55" s="17">
        <f t="shared" si="48"/>
        <v>6000</v>
      </c>
      <c r="J55" s="17">
        <f t="shared" si="2"/>
        <v>1020.5</v>
      </c>
      <c r="K55" s="24">
        <v>165</v>
      </c>
      <c r="L55" s="24">
        <v>2145</v>
      </c>
      <c r="M55" s="24">
        <v>0</v>
      </c>
      <c r="N55" s="24">
        <v>0</v>
      </c>
      <c r="O55" s="24">
        <v>2145</v>
      </c>
      <c r="P55" s="18">
        <v>2431</v>
      </c>
      <c r="Q55" s="18">
        <f t="shared" si="3"/>
        <v>4576</v>
      </c>
      <c r="R55" s="17">
        <f t="shared" ref="R55:R57" si="49">R$4*D55</f>
        <v>8840</v>
      </c>
      <c r="S55" s="18">
        <f t="shared" si="4"/>
        <v>4264</v>
      </c>
      <c r="T55" s="24">
        <v>0</v>
      </c>
      <c r="U55" s="24">
        <v>0</v>
      </c>
      <c r="V55" s="19">
        <v>0</v>
      </c>
      <c r="W55" s="19">
        <f t="shared" si="5"/>
        <v>0</v>
      </c>
      <c r="X55" s="19"/>
      <c r="Y55" s="19">
        <f t="shared" si="47"/>
        <v>0</v>
      </c>
      <c r="Z55" s="24"/>
      <c r="AA55" s="21"/>
      <c r="AB55" s="18">
        <f t="shared" si="6"/>
        <v>0</v>
      </c>
      <c r="AC55" s="100">
        <f t="shared" si="7"/>
        <v>0</v>
      </c>
      <c r="AD55" s="109">
        <f t="shared" si="8"/>
        <v>5284.5</v>
      </c>
      <c r="AE55" s="103"/>
      <c r="AF55" s="17"/>
      <c r="AG55" s="17"/>
      <c r="AH55" s="24">
        <f t="shared" si="9"/>
        <v>4634.5</v>
      </c>
      <c r="AI55" s="24">
        <f t="shared" si="34"/>
        <v>4634.5</v>
      </c>
      <c r="AJ55" s="24">
        <v>5433.1</v>
      </c>
      <c r="AK55" s="24">
        <f t="shared" si="10"/>
        <v>-798.60000000000036</v>
      </c>
      <c r="AL55" s="24" t="s">
        <v>43</v>
      </c>
      <c r="AM55" s="24">
        <v>10500</v>
      </c>
      <c r="AN55" s="24"/>
      <c r="AO55" s="24">
        <f t="shared" si="11"/>
        <v>10500</v>
      </c>
      <c r="AP55" s="15"/>
      <c r="AQ55" s="15"/>
      <c r="AR55" s="15"/>
      <c r="AS55" s="15"/>
    </row>
    <row r="56" spans="1:45">
      <c r="A56" s="12" t="s">
        <v>96</v>
      </c>
      <c r="B56" s="17">
        <v>164</v>
      </c>
      <c r="C56" s="12">
        <v>164</v>
      </c>
      <c r="D56" s="17">
        <v>14</v>
      </c>
      <c r="E56" s="18">
        <v>8.536585365853659</v>
      </c>
      <c r="F56" s="24">
        <v>2489.5</v>
      </c>
      <c r="G56" s="17">
        <v>2490</v>
      </c>
      <c r="H56" s="17">
        <f t="shared" si="1"/>
        <v>4979.5</v>
      </c>
      <c r="I56" s="17">
        <f>I4</f>
        <v>6000</v>
      </c>
      <c r="J56" s="17">
        <f t="shared" si="2"/>
        <v>1020.5</v>
      </c>
      <c r="K56" s="24">
        <v>48</v>
      </c>
      <c r="L56" s="24">
        <v>624</v>
      </c>
      <c r="M56" s="24">
        <v>8</v>
      </c>
      <c r="N56" s="24">
        <v>24.8</v>
      </c>
      <c r="O56" s="24">
        <v>648.79999999999995</v>
      </c>
      <c r="P56" s="18">
        <v>330.6</v>
      </c>
      <c r="Q56" s="18">
        <f t="shared" si="3"/>
        <v>979.4</v>
      </c>
      <c r="R56" s="17">
        <f t="shared" si="49"/>
        <v>4760</v>
      </c>
      <c r="S56" s="18">
        <f t="shared" si="4"/>
        <v>3780.6</v>
      </c>
      <c r="T56" s="24">
        <v>0</v>
      </c>
      <c r="U56" s="24">
        <v>0</v>
      </c>
      <c r="V56" s="19"/>
      <c r="W56" s="19">
        <f t="shared" si="5"/>
        <v>0</v>
      </c>
      <c r="X56" s="19"/>
      <c r="Y56" s="19">
        <f t="shared" si="47"/>
        <v>0</v>
      </c>
      <c r="Z56" s="24">
        <f>[2]Svømmetimetilskud!J12</f>
        <v>57.851439324133217</v>
      </c>
      <c r="AA56" s="32">
        <v>150.07911917088813</v>
      </c>
      <c r="AB56" s="18">
        <f t="shared" si="6"/>
        <v>207.93055849502136</v>
      </c>
      <c r="AC56" s="100">
        <f>-AB56/2</f>
        <v>-103.96527924751068</v>
      </c>
      <c r="AD56" s="109">
        <f t="shared" si="8"/>
        <v>4697.1347207524896</v>
      </c>
      <c r="AE56" s="103"/>
      <c r="AF56" s="17"/>
      <c r="AG56" s="17"/>
      <c r="AH56" s="24">
        <f t="shared" si="9"/>
        <v>3138.3</v>
      </c>
      <c r="AI56" s="24">
        <f t="shared" si="34"/>
        <v>3138.3</v>
      </c>
      <c r="AJ56" s="24">
        <v>3254.7</v>
      </c>
      <c r="AK56" s="24">
        <f t="shared" si="10"/>
        <v>-116.39999999999964</v>
      </c>
      <c r="AL56" s="24" t="s">
        <v>43</v>
      </c>
      <c r="AM56" s="24">
        <v>6936.39</v>
      </c>
      <c r="AN56" s="24">
        <v>873.6</v>
      </c>
      <c r="AO56" s="24">
        <f t="shared" si="11"/>
        <v>7809.9900000000007</v>
      </c>
      <c r="AP56" s="15"/>
      <c r="AQ56" s="15"/>
      <c r="AR56" s="15"/>
      <c r="AS56" s="15"/>
    </row>
    <row r="57" spans="1:45">
      <c r="A57" s="12" t="s">
        <v>97</v>
      </c>
      <c r="B57" s="17">
        <v>118</v>
      </c>
      <c r="C57" s="12">
        <v>89</v>
      </c>
      <c r="D57" s="17">
        <v>13</v>
      </c>
      <c r="E57" s="18">
        <v>11.0169491525424</v>
      </c>
      <c r="F57" s="24">
        <v>2489.5</v>
      </c>
      <c r="G57" s="17">
        <v>2490</v>
      </c>
      <c r="H57" s="17">
        <f t="shared" si="1"/>
        <v>4979.5</v>
      </c>
      <c r="I57" s="17">
        <f t="shared" si="48"/>
        <v>6000</v>
      </c>
      <c r="J57" s="17">
        <f t="shared" si="2"/>
        <v>1020.5</v>
      </c>
      <c r="K57" s="24">
        <v>60</v>
      </c>
      <c r="L57" s="24">
        <v>780</v>
      </c>
      <c r="M57" s="24">
        <v>18</v>
      </c>
      <c r="N57" s="24">
        <v>55.8</v>
      </c>
      <c r="O57" s="24">
        <v>835.8</v>
      </c>
      <c r="P57" s="18">
        <v>798.6</v>
      </c>
      <c r="Q57" s="18">
        <f t="shared" si="3"/>
        <v>1634.4</v>
      </c>
      <c r="R57" s="17">
        <f t="shared" si="49"/>
        <v>4420</v>
      </c>
      <c r="S57" s="18">
        <f t="shared" si="4"/>
        <v>2785.6</v>
      </c>
      <c r="T57" s="24">
        <v>0</v>
      </c>
      <c r="U57" s="24">
        <v>0</v>
      </c>
      <c r="V57" s="19">
        <v>0</v>
      </c>
      <c r="W57" s="19">
        <f t="shared" si="5"/>
        <v>0</v>
      </c>
      <c r="X57" s="19"/>
      <c r="Y57" s="19">
        <f t="shared" si="47"/>
        <v>0</v>
      </c>
      <c r="Z57" s="24"/>
      <c r="AA57" s="39"/>
      <c r="AB57" s="18">
        <f t="shared" si="6"/>
        <v>0</v>
      </c>
      <c r="AC57" s="100">
        <f t="shared" si="7"/>
        <v>0</v>
      </c>
      <c r="AD57" s="109">
        <f t="shared" si="8"/>
        <v>3806.1</v>
      </c>
      <c r="AE57" s="103"/>
      <c r="AF57" s="17"/>
      <c r="AG57" s="17"/>
      <c r="AH57" s="24">
        <f t="shared" si="9"/>
        <v>3325.3</v>
      </c>
      <c r="AI57" s="24">
        <f t="shared" si="34"/>
        <v>3325.3</v>
      </c>
      <c r="AJ57" s="24">
        <v>3288.1</v>
      </c>
      <c r="AK57" s="24">
        <f t="shared" si="10"/>
        <v>37.200000000000273</v>
      </c>
      <c r="AL57" s="24" t="s">
        <v>43</v>
      </c>
      <c r="AM57" s="24">
        <v>20376.39</v>
      </c>
      <c r="AN57" s="24">
        <v>102.5</v>
      </c>
      <c r="AO57" s="24">
        <f t="shared" si="11"/>
        <v>20478.89</v>
      </c>
      <c r="AP57" s="15"/>
      <c r="AQ57" s="15"/>
      <c r="AR57" s="15"/>
      <c r="AS57" s="15"/>
    </row>
    <row r="58" spans="1:45">
      <c r="A58" s="10" t="s">
        <v>98</v>
      </c>
      <c r="B58" s="11">
        <v>1139</v>
      </c>
      <c r="C58" s="12">
        <v>1181</v>
      </c>
      <c r="D58" s="11">
        <v>778</v>
      </c>
      <c r="E58" s="23">
        <v>68.305531167690958</v>
      </c>
      <c r="F58" s="12">
        <v>4980</v>
      </c>
      <c r="G58" s="17">
        <v>4980</v>
      </c>
      <c r="H58" s="17">
        <f t="shared" si="1"/>
        <v>9960</v>
      </c>
      <c r="I58" s="17">
        <f>6*I4</f>
        <v>36000</v>
      </c>
      <c r="J58" s="17">
        <f t="shared" si="2"/>
        <v>26040</v>
      </c>
      <c r="K58" s="10">
        <v>3522</v>
      </c>
      <c r="L58" s="10">
        <v>45786</v>
      </c>
      <c r="M58" s="10">
        <v>76</v>
      </c>
      <c r="N58" s="10">
        <v>235.6</v>
      </c>
      <c r="O58" s="10">
        <v>46021.599999999999</v>
      </c>
      <c r="P58" s="18">
        <v>44504</v>
      </c>
      <c r="Q58" s="18">
        <f t="shared" si="3"/>
        <v>90525.6</v>
      </c>
      <c r="R58" s="153">
        <f>'[2]Hovedfor. ens (3)'!R30</f>
        <v>165714</v>
      </c>
      <c r="S58" s="18">
        <f t="shared" si="4"/>
        <v>75188.399999999994</v>
      </c>
      <c r="T58" s="12">
        <v>889.5</v>
      </c>
      <c r="U58" s="12">
        <v>29353.5</v>
      </c>
      <c r="V58" s="19">
        <v>26581.5</v>
      </c>
      <c r="W58" s="19">
        <f t="shared" si="5"/>
        <v>55935</v>
      </c>
      <c r="X58" s="28">
        <f>'[2]Hovedfor. ens (3)'!W24</f>
        <v>1218.969696969697</v>
      </c>
      <c r="Y58" s="19">
        <f>-W58*Y4</f>
        <v>-55935</v>
      </c>
      <c r="Z58" s="12"/>
      <c r="AA58" s="12"/>
      <c r="AB58" s="18">
        <f t="shared" si="6"/>
        <v>0</v>
      </c>
      <c r="AC58" s="100">
        <f t="shared" si="7"/>
        <v>0</v>
      </c>
      <c r="AD58" s="109">
        <f>J58+S58+Y58+AC58+AG58</f>
        <v>67326.855602893294</v>
      </c>
      <c r="AE58" s="103">
        <f>E58</f>
        <v>68.305531167690958</v>
      </c>
      <c r="AF58" s="17">
        <f>X58*AE58/100</f>
        <v>832.62372628834453</v>
      </c>
      <c r="AG58" s="17">
        <f>AF58*AG4/AF60</f>
        <v>22033.4556028933</v>
      </c>
      <c r="AH58" s="24">
        <f t="shared" si="9"/>
        <v>51001.599999999999</v>
      </c>
      <c r="AI58" s="24">
        <f t="shared" si="34"/>
        <v>80355.100000000006</v>
      </c>
      <c r="AJ58" s="24">
        <v>79821.399999999994</v>
      </c>
      <c r="AK58" s="24">
        <f t="shared" si="10"/>
        <v>533.70000000001164</v>
      </c>
      <c r="AL58" s="24" t="s">
        <v>43</v>
      </c>
      <c r="AM58" s="144">
        <f xml:space="preserve"> 68406+17750</f>
        <v>86156</v>
      </c>
      <c r="AN58" s="144">
        <v>3724.4</v>
      </c>
      <c r="AO58" s="24">
        <f t="shared" si="11"/>
        <v>89880.4</v>
      </c>
      <c r="AP58" s="15"/>
      <c r="AQ58" s="15"/>
      <c r="AR58" s="15"/>
      <c r="AS58" s="15"/>
    </row>
    <row r="59" spans="1:45">
      <c r="A59" s="12" t="s">
        <v>99</v>
      </c>
      <c r="B59" s="17">
        <v>350</v>
      </c>
      <c r="C59" s="12">
        <v>340</v>
      </c>
      <c r="D59" s="17">
        <v>220</v>
      </c>
      <c r="E59" s="18">
        <v>62.857142857142854</v>
      </c>
      <c r="F59" s="24">
        <v>4980</v>
      </c>
      <c r="G59" s="17">
        <v>4980</v>
      </c>
      <c r="H59" s="17">
        <f t="shared" si="1"/>
        <v>9960</v>
      </c>
      <c r="I59" s="17">
        <f>7*I4</f>
        <v>42000</v>
      </c>
      <c r="J59" s="17">
        <f t="shared" si="2"/>
        <v>32040</v>
      </c>
      <c r="K59" s="24">
        <v>1134</v>
      </c>
      <c r="L59" s="24">
        <v>14742</v>
      </c>
      <c r="M59" s="24">
        <v>26</v>
      </c>
      <c r="N59" s="24">
        <v>80.600000000000009</v>
      </c>
      <c r="O59" s="24">
        <v>14822.6</v>
      </c>
      <c r="P59" s="18">
        <v>16623.599999999999</v>
      </c>
      <c r="Q59" s="18">
        <f t="shared" si="3"/>
        <v>31446.199999999997</v>
      </c>
      <c r="R59" s="153">
        <f>'[2]Hovedfor. ens (3)'!R40</f>
        <v>50055</v>
      </c>
      <c r="S59" s="18">
        <f t="shared" si="4"/>
        <v>18608.800000000003</v>
      </c>
      <c r="T59" s="24">
        <v>405</v>
      </c>
      <c r="U59" s="24">
        <v>13365</v>
      </c>
      <c r="V59" s="19">
        <v>7194</v>
      </c>
      <c r="W59" s="19">
        <f t="shared" si="5"/>
        <v>20559</v>
      </c>
      <c r="X59" s="28">
        <f>'[2]Hovedfor. ens (3)'!W33+'[2]Hovedfor. ens (3)'!W34</f>
        <v>623</v>
      </c>
      <c r="Y59" s="19">
        <f>-W59*Y4</f>
        <v>-20559</v>
      </c>
      <c r="Z59" s="24"/>
      <c r="AA59" s="12">
        <v>0</v>
      </c>
      <c r="AB59" s="18">
        <f t="shared" si="6"/>
        <v>0</v>
      </c>
      <c r="AC59" s="100">
        <f t="shared" si="7"/>
        <v>0</v>
      </c>
      <c r="AD59" s="109">
        <f>J59+S59+Y59+AC59+AG59</f>
        <v>40452.585663766884</v>
      </c>
      <c r="AE59" s="103">
        <f>E59</f>
        <v>62.857142857142854</v>
      </c>
      <c r="AF59" s="17">
        <f>X59*AE59/100</f>
        <v>391.6</v>
      </c>
      <c r="AG59" s="17">
        <f>AF59*AG4/AF60</f>
        <v>10362.785663766881</v>
      </c>
      <c r="AH59" s="24">
        <f t="shared" si="9"/>
        <v>19802.599999999999</v>
      </c>
      <c r="AI59" s="24">
        <f t="shared" si="34"/>
        <v>33167.599999999999</v>
      </c>
      <c r="AJ59" s="24">
        <v>36306.699999999997</v>
      </c>
      <c r="AK59" s="24">
        <f t="shared" si="10"/>
        <v>-3139.0999999999985</v>
      </c>
      <c r="AL59" s="24" t="s">
        <v>100</v>
      </c>
      <c r="AM59" s="24"/>
      <c r="AN59" s="24"/>
      <c r="AO59" s="24">
        <f t="shared" si="11"/>
        <v>0</v>
      </c>
      <c r="AP59" s="15"/>
      <c r="AQ59" s="15"/>
      <c r="AR59" s="15"/>
      <c r="AS59" s="15"/>
    </row>
    <row r="60" spans="1:45">
      <c r="A60" s="34" t="s">
        <v>101</v>
      </c>
      <c r="B60" s="14"/>
      <c r="C60" s="10"/>
      <c r="D60" s="13">
        <f>SUM(D5:D59)</f>
        <v>7676</v>
      </c>
      <c r="E60" s="23"/>
      <c r="F60" s="40">
        <f>SUM(F5:F59)</f>
        <v>146893.5</v>
      </c>
      <c r="G60" s="41">
        <f>SUM(G5:G59)</f>
        <v>141930</v>
      </c>
      <c r="H60" s="41">
        <f>SUM(H5:H59)</f>
        <v>288823.5</v>
      </c>
      <c r="I60" s="41">
        <f>SUM(I5:I59)</f>
        <v>420000</v>
      </c>
      <c r="J60" s="13">
        <f t="shared" si="2"/>
        <v>131176.5</v>
      </c>
      <c r="K60" s="14"/>
      <c r="L60" s="14"/>
      <c r="M60" s="14"/>
      <c r="N60" s="14"/>
      <c r="O60" s="40">
        <f>SUM(O5:O59)</f>
        <v>471530.89999999991</v>
      </c>
      <c r="P60" s="42">
        <f>SUM(P5:P59)</f>
        <v>469351.89999999997</v>
      </c>
      <c r="Q60" s="42">
        <f>SUM(Q5:Q59)</f>
        <v>940882.7999999997</v>
      </c>
      <c r="R60" s="42">
        <f>SUM(R5:R59)</f>
        <v>2081859</v>
      </c>
      <c r="S60" s="42">
        <f>SUM(S5:S59)</f>
        <v>1140976.2000000002</v>
      </c>
      <c r="T60" s="14"/>
      <c r="U60" s="40">
        <f t="shared" ref="U60" si="50">SUM(U5:U59)</f>
        <v>211851.75</v>
      </c>
      <c r="V60" s="42">
        <f>SUM(V5:V59)</f>
        <v>220324.5</v>
      </c>
      <c r="W60" s="42">
        <f>SUM(W5:W59)</f>
        <v>432176.25</v>
      </c>
      <c r="X60" s="42">
        <f>SUM(X5:X59)</f>
        <v>10148.71212121212</v>
      </c>
      <c r="Y60" s="43">
        <f>SUM(Y5:Y59)</f>
        <v>-432176.25</v>
      </c>
      <c r="Z60" s="40">
        <f>SUM(Z6:Z59)</f>
        <v>94999.999999999985</v>
      </c>
      <c r="AA60" s="9">
        <f t="shared" ref="AA60:AD60" si="51">SUM(AA5:AA59)</f>
        <v>95000</v>
      </c>
      <c r="AB60" s="42">
        <f t="shared" si="51"/>
        <v>190000</v>
      </c>
      <c r="AC60" s="101">
        <f t="shared" si="51"/>
        <v>-95000</v>
      </c>
      <c r="AD60" s="110">
        <f t="shared" si="51"/>
        <v>944976.45000000019</v>
      </c>
      <c r="AE60" s="104"/>
      <c r="AF60" s="13">
        <f>SUM(AF4:AF59)</f>
        <v>7557.8133661340844</v>
      </c>
      <c r="AG60" s="13">
        <f>SUM(AG5:AG59)</f>
        <v>200000.00000000003</v>
      </c>
      <c r="AH60" s="149">
        <f>SUM(AH5:AH59)</f>
        <v>604450.30000000005</v>
      </c>
      <c r="AI60" s="149">
        <f>SUM(AI5:AI59)</f>
        <v>816302.04999999993</v>
      </c>
      <c r="AJ60" s="24">
        <v>848036.29999999993</v>
      </c>
      <c r="AK60" s="24"/>
      <c r="AL60" s="12"/>
      <c r="AM60" s="149">
        <f>SUM(AM5:AM59)</f>
        <v>726076.14000000013</v>
      </c>
      <c r="AN60" s="149">
        <f>SUM(AN5:AN59)</f>
        <v>12732.449999999999</v>
      </c>
      <c r="AO60" s="149">
        <f t="shared" si="11"/>
        <v>738808.59000000008</v>
      </c>
      <c r="AP60" s="15"/>
      <c r="AQ60" s="15"/>
      <c r="AR60" s="15"/>
      <c r="AS60" s="15"/>
    </row>
    <row r="61" spans="1:45">
      <c r="A61" s="10"/>
      <c r="B61" s="14"/>
      <c r="C61" s="10"/>
      <c r="D61" s="14"/>
      <c r="E61" s="14"/>
      <c r="F61" s="14"/>
      <c r="G61" s="10"/>
      <c r="H61" s="10"/>
      <c r="I61" s="10"/>
      <c r="J61" s="17">
        <f t="shared" si="2"/>
        <v>0</v>
      </c>
      <c r="K61" s="14"/>
      <c r="L61" s="14"/>
      <c r="M61" s="14"/>
      <c r="N61" s="14"/>
      <c r="O61" s="14"/>
      <c r="P61" s="10"/>
      <c r="Q61" s="10"/>
      <c r="R61" s="12"/>
      <c r="S61" s="12"/>
      <c r="T61" s="14"/>
      <c r="U61" s="14"/>
      <c r="V61" s="10"/>
      <c r="W61" s="10"/>
      <c r="X61" s="10"/>
      <c r="Y61" s="10"/>
      <c r="Z61" s="14"/>
      <c r="AA61" s="12"/>
      <c r="AB61" s="12"/>
      <c r="AC61" s="73"/>
      <c r="AD61" s="107"/>
      <c r="AE61" s="68"/>
      <c r="AF61" s="12"/>
      <c r="AG61" s="12"/>
      <c r="AH61" s="149">
        <f>AH60-AH47-AH34-AH24-AH19-AH5</f>
        <v>577591.5</v>
      </c>
      <c r="AI61" s="149">
        <f>AI60-AI47-AI34-AI24-AI19-AI5</f>
        <v>788915.24999999988</v>
      </c>
      <c r="AJ61" s="24"/>
      <c r="AK61" s="24"/>
      <c r="AL61" s="12"/>
      <c r="AM61" s="149"/>
      <c r="AN61" s="24"/>
      <c r="AO61" s="24"/>
      <c r="AP61" s="15"/>
      <c r="AQ61" s="15"/>
      <c r="AR61" s="15"/>
      <c r="AS61" s="15"/>
    </row>
    <row r="62" spans="1:45">
      <c r="Y62" s="45">
        <f>W60+Y60</f>
        <v>0</v>
      </c>
      <c r="AD62" s="111"/>
      <c r="AM62" s="46"/>
      <c r="AN62" s="46"/>
      <c r="AO62" s="46"/>
      <c r="AP62" s="15"/>
      <c r="AQ62" s="15"/>
      <c r="AR62" s="15"/>
      <c r="AS62" s="15"/>
    </row>
    <row r="63" spans="1:45" ht="93.75" customHeight="1">
      <c r="A63" s="89" t="s">
        <v>102</v>
      </c>
      <c r="B63" s="47" t="s">
        <v>103</v>
      </c>
      <c r="C63" s="48" t="s">
        <v>104</v>
      </c>
      <c r="D63" s="49" t="s">
        <v>105</v>
      </c>
      <c r="E63" s="48" t="s">
        <v>104</v>
      </c>
      <c r="F63" s="1" t="s">
        <v>106</v>
      </c>
      <c r="G63" s="1" t="s">
        <v>107</v>
      </c>
      <c r="H63" s="90" t="s">
        <v>108</v>
      </c>
      <c r="I63" s="3" t="s">
        <v>5</v>
      </c>
      <c r="J63" s="4" t="s">
        <v>6</v>
      </c>
      <c r="M63" s="50" t="s">
        <v>109</v>
      </c>
      <c r="O63" s="1" t="s">
        <v>8</v>
      </c>
      <c r="P63" s="1" t="s">
        <v>9</v>
      </c>
      <c r="Q63" s="90" t="s">
        <v>10</v>
      </c>
      <c r="R63" s="3" t="s">
        <v>11</v>
      </c>
      <c r="S63" s="4" t="s">
        <v>12</v>
      </c>
      <c r="Z63" s="51"/>
      <c r="AB63" s="45"/>
      <c r="AC63" s="16">
        <f>AG74/AD74</f>
        <v>2.2769504701105121</v>
      </c>
      <c r="AD63" s="112" t="s">
        <v>21</v>
      </c>
      <c r="AE63" s="102"/>
      <c r="AF63" s="6">
        <v>0.2</v>
      </c>
      <c r="AG63" s="127" t="s">
        <v>178</v>
      </c>
      <c r="AM63" s="123" t="s">
        <v>29</v>
      </c>
      <c r="AO63" s="124" t="s">
        <v>31</v>
      </c>
      <c r="AP63" s="126" t="s">
        <v>177</v>
      </c>
    </row>
    <row r="64" spans="1:45">
      <c r="A64" s="12" t="s">
        <v>111</v>
      </c>
      <c r="B64" s="52">
        <f>303/6</f>
        <v>50.5</v>
      </c>
      <c r="C64" s="53">
        <f>296/6</f>
        <v>49.333333333333336</v>
      </c>
      <c r="D64" s="10">
        <v>50</v>
      </c>
      <c r="E64" s="23">
        <v>70.422535211267601</v>
      </c>
      <c r="F64" s="54">
        <v>3148</v>
      </c>
      <c r="G64" s="11">
        <v>3148</v>
      </c>
      <c r="H64" s="55">
        <f>F64+G64</f>
        <v>6296</v>
      </c>
      <c r="I64" s="136">
        <f>I4</f>
        <v>6000</v>
      </c>
      <c r="J64" s="55">
        <f>I64-H64</f>
        <v>-296</v>
      </c>
      <c r="O64" s="56">
        <v>9659.64</v>
      </c>
      <c r="P64" s="57">
        <v>7015.2</v>
      </c>
      <c r="Q64" s="14">
        <f>O64+P64</f>
        <v>16674.84</v>
      </c>
      <c r="R64" s="17">
        <f>R$4*D64</f>
        <v>17000</v>
      </c>
      <c r="S64" s="17">
        <f>R64-Q64</f>
        <v>325.15999999999985</v>
      </c>
      <c r="AD64" s="134">
        <f>J64+S64</f>
        <v>29.159999999999854</v>
      </c>
      <c r="AE64" s="141"/>
      <c r="AF64" s="58"/>
      <c r="AG64" s="125"/>
      <c r="AH64" s="10"/>
      <c r="AI64" s="10"/>
      <c r="AJ64" s="10"/>
      <c r="AK64" s="10"/>
      <c r="AL64" s="10"/>
      <c r="AM64" s="59">
        <v>14060</v>
      </c>
      <c r="AN64" s="10"/>
      <c r="AO64" s="59">
        <v>14060</v>
      </c>
      <c r="AP64" s="122">
        <f>AD64+AG64</f>
        <v>29.159999999999854</v>
      </c>
    </row>
    <row r="65" spans="1:42">
      <c r="A65" s="60" t="s">
        <v>112</v>
      </c>
      <c r="B65" s="52">
        <f>660/6</f>
        <v>110</v>
      </c>
      <c r="C65" s="53">
        <f>738/6</f>
        <v>123</v>
      </c>
      <c r="D65" s="10">
        <v>123</v>
      </c>
      <c r="E65" s="23">
        <v>79.870129870129873</v>
      </c>
      <c r="F65" s="54">
        <v>3148</v>
      </c>
      <c r="G65" s="11">
        <v>3148</v>
      </c>
      <c r="H65" s="55">
        <f t="shared" ref="H65:H73" si="52">F65+G65</f>
        <v>6296</v>
      </c>
      <c r="I65" s="136">
        <f>I4</f>
        <v>6000</v>
      </c>
      <c r="J65" s="55">
        <f t="shared" ref="J65:J73" si="53">I65-H65</f>
        <v>-296</v>
      </c>
      <c r="M65" t="s">
        <v>187</v>
      </c>
      <c r="O65" s="56">
        <v>21040.799999999999</v>
      </c>
      <c r="P65" s="57">
        <v>17490.599999999999</v>
      </c>
      <c r="Q65" s="14">
        <f t="shared" ref="Q65:Q73" si="54">O65+P65</f>
        <v>38531.399999999994</v>
      </c>
      <c r="R65" s="17">
        <f t="shared" ref="R65:R73" si="55">R$4*D65</f>
        <v>41820</v>
      </c>
      <c r="S65" s="17">
        <f t="shared" ref="S65:S73" si="56">R65-Q65</f>
        <v>3288.6000000000058</v>
      </c>
      <c r="AD65" s="134">
        <f t="shared" ref="AD65:AD74" si="57">J65+S65</f>
        <v>2992.6000000000058</v>
      </c>
      <c r="AE65" s="141"/>
      <c r="AF65" s="58"/>
      <c r="AG65" s="125"/>
      <c r="AH65" s="10"/>
      <c r="AI65" s="10"/>
      <c r="AJ65" s="10"/>
      <c r="AK65" s="10"/>
      <c r="AL65" s="10"/>
      <c r="AM65" s="59">
        <v>32917</v>
      </c>
      <c r="AN65" s="10"/>
      <c r="AO65" s="59">
        <v>32917</v>
      </c>
      <c r="AP65" s="122">
        <f t="shared" ref="AP65:AP74" si="58">AD65+AG65</f>
        <v>2992.6000000000058</v>
      </c>
    </row>
    <row r="66" spans="1:42">
      <c r="A66" s="12" t="s">
        <v>113</v>
      </c>
      <c r="B66" s="52">
        <f>168/6</f>
        <v>28</v>
      </c>
      <c r="C66" s="53">
        <f>153/6</f>
        <v>25.5</v>
      </c>
      <c r="D66" s="10">
        <v>28</v>
      </c>
      <c r="E66" s="23">
        <v>58.333333333333336</v>
      </c>
      <c r="F66" s="54">
        <v>3148</v>
      </c>
      <c r="G66" s="11">
        <v>3148</v>
      </c>
      <c r="H66" s="55">
        <f t="shared" si="52"/>
        <v>6296</v>
      </c>
      <c r="I66" s="136">
        <f>I4</f>
        <v>6000</v>
      </c>
      <c r="J66" s="55">
        <f t="shared" si="53"/>
        <v>-296</v>
      </c>
      <c r="M66">
        <f>12*31.88</f>
        <v>382.56</v>
      </c>
      <c r="O66" s="56">
        <v>5355.84</v>
      </c>
      <c r="P66" s="57">
        <v>3626.1</v>
      </c>
      <c r="Q66" s="14">
        <f t="shared" si="54"/>
        <v>8981.94</v>
      </c>
      <c r="R66" s="17">
        <f t="shared" si="55"/>
        <v>9520</v>
      </c>
      <c r="S66" s="17">
        <f t="shared" si="56"/>
        <v>538.05999999999949</v>
      </c>
      <c r="AD66" s="134">
        <f t="shared" si="57"/>
        <v>242.05999999999949</v>
      </c>
      <c r="AE66" s="141"/>
      <c r="AF66" s="58"/>
      <c r="AG66" s="125"/>
      <c r="AH66" s="10"/>
      <c r="AI66" s="10"/>
      <c r="AJ66" s="10"/>
      <c r="AK66" s="10"/>
      <c r="AL66" s="10"/>
      <c r="AM66" s="59">
        <v>12389</v>
      </c>
      <c r="AN66" s="10"/>
      <c r="AO66" s="59">
        <v>12389</v>
      </c>
      <c r="AP66" s="122">
        <f t="shared" si="58"/>
        <v>242.05999999999949</v>
      </c>
    </row>
    <row r="67" spans="1:42">
      <c r="A67" s="12" t="s">
        <v>114</v>
      </c>
      <c r="B67" s="52">
        <f>496/6</f>
        <v>82.666666666666671</v>
      </c>
      <c r="C67" s="53">
        <f>436/6</f>
        <v>72.666666666666671</v>
      </c>
      <c r="D67" s="10">
        <v>68</v>
      </c>
      <c r="E67" s="23">
        <v>76.404494382022463</v>
      </c>
      <c r="F67" s="54">
        <v>3148</v>
      </c>
      <c r="G67" s="11">
        <v>3148</v>
      </c>
      <c r="H67" s="55">
        <f t="shared" si="52"/>
        <v>6296</v>
      </c>
      <c r="I67" s="136">
        <f>I4</f>
        <v>6000</v>
      </c>
      <c r="J67" s="55">
        <f t="shared" si="53"/>
        <v>-296</v>
      </c>
      <c r="M67" t="s">
        <v>189</v>
      </c>
      <c r="O67" s="56">
        <v>15812.48</v>
      </c>
      <c r="P67" s="57">
        <v>10333.199999999999</v>
      </c>
      <c r="Q67" s="14">
        <f t="shared" si="54"/>
        <v>26145.68</v>
      </c>
      <c r="R67" s="17">
        <f t="shared" si="55"/>
        <v>23120</v>
      </c>
      <c r="S67" s="17">
        <f t="shared" si="56"/>
        <v>-3025.6800000000003</v>
      </c>
      <c r="AD67" s="134">
        <f t="shared" si="57"/>
        <v>-3321.6800000000003</v>
      </c>
      <c r="AE67" s="141"/>
      <c r="AF67" s="58"/>
      <c r="AG67" s="125">
        <f>-AD67*0.8</f>
        <v>2657.3440000000005</v>
      </c>
      <c r="AH67" s="10"/>
      <c r="AI67" s="10"/>
      <c r="AJ67" s="10"/>
      <c r="AK67" s="10"/>
      <c r="AL67" s="10"/>
      <c r="AM67" s="59">
        <v>14655</v>
      </c>
      <c r="AN67" s="10"/>
      <c r="AO67" s="59">
        <v>14655</v>
      </c>
      <c r="AP67" s="122">
        <f t="shared" si="58"/>
        <v>-664.33599999999979</v>
      </c>
    </row>
    <row r="68" spans="1:42">
      <c r="A68" s="60" t="s">
        <v>115</v>
      </c>
      <c r="B68" s="52">
        <f>228/6</f>
        <v>38</v>
      </c>
      <c r="C68" s="53">
        <f>164/6</f>
        <v>27.333333333333332</v>
      </c>
      <c r="D68" s="10">
        <v>29</v>
      </c>
      <c r="E68" s="23">
        <v>76.31578947368422</v>
      </c>
      <c r="F68" s="54">
        <v>3148</v>
      </c>
      <c r="G68" s="11">
        <v>3148</v>
      </c>
      <c r="H68" s="55">
        <f t="shared" si="52"/>
        <v>6296</v>
      </c>
      <c r="I68" s="136">
        <f>I4</f>
        <v>6000</v>
      </c>
      <c r="J68" s="55">
        <f t="shared" si="53"/>
        <v>-296</v>
      </c>
      <c r="M68">
        <v>340</v>
      </c>
      <c r="O68" s="56">
        <v>7268.6399999999994</v>
      </c>
      <c r="P68" s="57">
        <v>3886.7999999999997</v>
      </c>
      <c r="Q68" s="14">
        <f t="shared" si="54"/>
        <v>11155.439999999999</v>
      </c>
      <c r="R68" s="17">
        <f t="shared" si="55"/>
        <v>9860</v>
      </c>
      <c r="S68" s="17">
        <f t="shared" si="56"/>
        <v>-1295.4399999999987</v>
      </c>
      <c r="AD68" s="134">
        <f t="shared" si="57"/>
        <v>-1591.4399999999987</v>
      </c>
      <c r="AE68" s="141"/>
      <c r="AF68" s="58"/>
      <c r="AG68" s="125">
        <f>-AD68*0.8</f>
        <v>1273.1519999999991</v>
      </c>
      <c r="AH68" s="10"/>
      <c r="AI68" s="10"/>
      <c r="AJ68" s="10"/>
      <c r="AK68" s="10"/>
      <c r="AL68" s="10"/>
      <c r="AM68" s="59">
        <v>6390</v>
      </c>
      <c r="AN68" s="10"/>
      <c r="AO68" s="59">
        <v>6390</v>
      </c>
      <c r="AP68" s="122">
        <f t="shared" si="58"/>
        <v>-318.28799999999956</v>
      </c>
    </row>
    <row r="69" spans="1:42">
      <c r="A69" s="12" t="s">
        <v>116</v>
      </c>
      <c r="B69" s="52">
        <f>150/6</f>
        <v>25</v>
      </c>
      <c r="C69" s="53">
        <f>187/6</f>
        <v>31.166666666666668</v>
      </c>
      <c r="D69" s="10">
        <v>27</v>
      </c>
      <c r="E69" s="23">
        <v>75</v>
      </c>
      <c r="F69" s="54">
        <v>3148</v>
      </c>
      <c r="G69" s="11">
        <v>3148</v>
      </c>
      <c r="H69" s="55">
        <f t="shared" si="52"/>
        <v>6296</v>
      </c>
      <c r="I69" s="136">
        <f>I4</f>
        <v>6000</v>
      </c>
      <c r="J69" s="55">
        <f t="shared" si="53"/>
        <v>-296</v>
      </c>
      <c r="O69" s="56">
        <v>4782</v>
      </c>
      <c r="P69" s="57">
        <v>4431.8999999999996</v>
      </c>
      <c r="Q69" s="14">
        <f t="shared" si="54"/>
        <v>9213.9</v>
      </c>
      <c r="R69" s="17">
        <f t="shared" si="55"/>
        <v>9180</v>
      </c>
      <c r="S69" s="17">
        <f t="shared" si="56"/>
        <v>-33.899999999999636</v>
      </c>
      <c r="AD69" s="134">
        <f t="shared" si="57"/>
        <v>-329.89999999999964</v>
      </c>
      <c r="AE69" s="141"/>
      <c r="AF69" s="58"/>
      <c r="AG69" s="125">
        <f>-AD69*0.8</f>
        <v>263.91999999999973</v>
      </c>
      <c r="AH69" s="10"/>
      <c r="AI69" s="10"/>
      <c r="AJ69" s="10"/>
      <c r="AK69" s="10"/>
      <c r="AL69" s="10"/>
      <c r="AM69" s="59">
        <v>6905</v>
      </c>
      <c r="AN69" s="10"/>
      <c r="AO69" s="59">
        <v>6905</v>
      </c>
      <c r="AP69" s="122">
        <f t="shared" si="58"/>
        <v>-65.979999999999905</v>
      </c>
    </row>
    <row r="70" spans="1:42">
      <c r="A70" s="12" t="s">
        <v>117</v>
      </c>
      <c r="B70" s="52">
        <f>372/6</f>
        <v>62</v>
      </c>
      <c r="C70" s="10">
        <f>378/6</f>
        <v>63</v>
      </c>
      <c r="D70" s="10">
        <v>63</v>
      </c>
      <c r="E70" s="23">
        <v>84</v>
      </c>
      <c r="F70" s="54">
        <v>3148</v>
      </c>
      <c r="G70" s="11">
        <v>3148</v>
      </c>
      <c r="H70" s="55">
        <f t="shared" si="52"/>
        <v>6296</v>
      </c>
      <c r="I70" s="136">
        <f t="shared" ref="I70" si="59">I10</f>
        <v>6000</v>
      </c>
      <c r="J70" s="55">
        <f t="shared" si="53"/>
        <v>-296</v>
      </c>
      <c r="O70" s="56">
        <v>11859.359999999999</v>
      </c>
      <c r="P70" s="57">
        <v>8958.6</v>
      </c>
      <c r="Q70" s="14">
        <f t="shared" si="54"/>
        <v>20817.96</v>
      </c>
      <c r="R70" s="17">
        <f t="shared" si="55"/>
        <v>21420</v>
      </c>
      <c r="S70" s="17">
        <f t="shared" si="56"/>
        <v>602.04000000000087</v>
      </c>
      <c r="AD70" s="134">
        <f t="shared" si="57"/>
        <v>306.04000000000087</v>
      </c>
      <c r="AE70" s="141"/>
      <c r="AF70" s="58"/>
      <c r="AG70" s="125"/>
      <c r="AH70" s="10"/>
      <c r="AI70" s="10"/>
      <c r="AJ70" s="10"/>
      <c r="AK70" s="10"/>
      <c r="AL70" s="10"/>
      <c r="AM70" s="59">
        <v>0</v>
      </c>
      <c r="AN70" s="10"/>
      <c r="AO70" s="59">
        <v>0</v>
      </c>
      <c r="AP70" s="122">
        <f t="shared" si="58"/>
        <v>306.04000000000087</v>
      </c>
    </row>
    <row r="71" spans="1:42">
      <c r="A71" s="12" t="s">
        <v>118</v>
      </c>
      <c r="B71" s="52">
        <f>363/6</f>
        <v>60.5</v>
      </c>
      <c r="C71" s="53">
        <f>348/6</f>
        <v>58</v>
      </c>
      <c r="D71" s="10">
        <v>62</v>
      </c>
      <c r="E71" s="23">
        <v>88.571428571428569</v>
      </c>
      <c r="F71" s="54">
        <v>3148</v>
      </c>
      <c r="G71" s="11">
        <v>3148</v>
      </c>
      <c r="H71" s="55">
        <f t="shared" si="52"/>
        <v>6296</v>
      </c>
      <c r="I71" s="136">
        <f t="shared" ref="I71" si="60">I10</f>
        <v>6000</v>
      </c>
      <c r="J71" s="55">
        <f t="shared" si="53"/>
        <v>-296</v>
      </c>
      <c r="O71" s="56">
        <v>11572.44</v>
      </c>
      <c r="P71" s="57">
        <v>8247.6</v>
      </c>
      <c r="Q71" s="14">
        <f t="shared" si="54"/>
        <v>19820.04</v>
      </c>
      <c r="R71" s="17">
        <f t="shared" si="55"/>
        <v>21080</v>
      </c>
      <c r="S71" s="17">
        <f t="shared" si="56"/>
        <v>1259.9599999999991</v>
      </c>
      <c r="AD71" s="134">
        <f t="shared" si="57"/>
        <v>963.95999999999913</v>
      </c>
      <c r="AE71" s="141"/>
      <c r="AF71" s="58"/>
      <c r="AG71" s="125"/>
      <c r="AH71" s="10"/>
      <c r="AI71" s="10"/>
      <c r="AJ71" s="10"/>
      <c r="AK71" s="10"/>
      <c r="AL71" s="10"/>
      <c r="AM71" s="59">
        <v>9475</v>
      </c>
      <c r="AN71" s="10"/>
      <c r="AO71" s="59">
        <v>9475</v>
      </c>
      <c r="AP71" s="122">
        <f t="shared" si="58"/>
        <v>963.95999999999913</v>
      </c>
    </row>
    <row r="72" spans="1:42">
      <c r="A72" s="12" t="s">
        <v>119</v>
      </c>
      <c r="B72" s="52">
        <f>394/6</f>
        <v>65.666666666666671</v>
      </c>
      <c r="C72" s="53">
        <f>381/6</f>
        <v>63.5</v>
      </c>
      <c r="D72" s="10">
        <v>67</v>
      </c>
      <c r="E72" s="23">
        <v>84.810126582278471</v>
      </c>
      <c r="F72" s="54">
        <v>3148</v>
      </c>
      <c r="G72" s="11">
        <v>3148</v>
      </c>
      <c r="H72" s="55">
        <f t="shared" si="52"/>
        <v>6296</v>
      </c>
      <c r="I72" s="136">
        <f t="shared" ref="I72" si="61">I10</f>
        <v>6000</v>
      </c>
      <c r="J72" s="55">
        <f t="shared" si="53"/>
        <v>-296</v>
      </c>
      <c r="O72" s="56">
        <v>12560.72</v>
      </c>
      <c r="P72" s="57">
        <v>9029.6999999999989</v>
      </c>
      <c r="Q72" s="14">
        <f t="shared" si="54"/>
        <v>21590.42</v>
      </c>
      <c r="R72" s="17">
        <f t="shared" si="55"/>
        <v>22780</v>
      </c>
      <c r="S72" s="17">
        <f t="shared" si="56"/>
        <v>1189.5800000000017</v>
      </c>
      <c r="AD72" s="134">
        <f t="shared" si="57"/>
        <v>893.58000000000175</v>
      </c>
      <c r="AE72" s="141"/>
      <c r="AF72" s="58"/>
      <c r="AG72" s="125"/>
      <c r="AH72" s="10"/>
      <c r="AI72" s="10"/>
      <c r="AJ72" s="10"/>
      <c r="AK72" s="10"/>
      <c r="AL72" s="10"/>
      <c r="AM72" s="59">
        <v>29221.83</v>
      </c>
      <c r="AN72" s="10"/>
      <c r="AO72" s="59">
        <v>29221.83</v>
      </c>
      <c r="AP72" s="122">
        <f t="shared" si="58"/>
        <v>893.58000000000175</v>
      </c>
    </row>
    <row r="73" spans="1:42">
      <c r="A73" s="12" t="s">
        <v>120</v>
      </c>
      <c r="B73" s="52">
        <f>172/6</f>
        <v>28.666666666666668</v>
      </c>
      <c r="C73" s="53">
        <f>217/6</f>
        <v>36.166666666666664</v>
      </c>
      <c r="D73" s="10">
        <v>37</v>
      </c>
      <c r="E73" s="23">
        <v>100</v>
      </c>
      <c r="F73" s="54">
        <v>3148</v>
      </c>
      <c r="G73" s="11">
        <v>3148</v>
      </c>
      <c r="H73" s="55">
        <f t="shared" si="52"/>
        <v>6296</v>
      </c>
      <c r="I73" s="136">
        <f t="shared" ref="I73" si="62">I13</f>
        <v>6000</v>
      </c>
      <c r="J73" s="55">
        <f t="shared" si="53"/>
        <v>-296</v>
      </c>
      <c r="O73" s="56">
        <v>5483.36</v>
      </c>
      <c r="P73" s="57">
        <v>5142.8999999999996</v>
      </c>
      <c r="Q73" s="14">
        <f t="shared" si="54"/>
        <v>10626.259999999998</v>
      </c>
      <c r="R73" s="17">
        <f t="shared" si="55"/>
        <v>12580</v>
      </c>
      <c r="S73" s="17">
        <f t="shared" si="56"/>
        <v>1953.7400000000016</v>
      </c>
      <c r="T73" t="s">
        <v>190</v>
      </c>
      <c r="AD73" s="134">
        <f t="shared" si="57"/>
        <v>1657.7400000000016</v>
      </c>
      <c r="AE73" s="141"/>
      <c r="AF73" s="58"/>
      <c r="AG73" s="125"/>
      <c r="AH73" s="10"/>
      <c r="AI73" s="10"/>
      <c r="AJ73" s="10"/>
      <c r="AK73" s="10"/>
      <c r="AL73" s="10"/>
      <c r="AM73" s="59">
        <v>456</v>
      </c>
      <c r="AN73" s="10"/>
      <c r="AO73" s="59">
        <v>456</v>
      </c>
      <c r="AP73" s="122">
        <f t="shared" si="58"/>
        <v>1657.7400000000016</v>
      </c>
    </row>
    <row r="74" spans="1:42">
      <c r="A74" s="9" t="s">
        <v>101</v>
      </c>
      <c r="B74" s="10"/>
      <c r="C74" s="10"/>
      <c r="D74" s="9">
        <f>SUM(D64:D73)</f>
        <v>554</v>
      </c>
      <c r="E74" s="10"/>
      <c r="F74" s="40">
        <f>SUM(F64:F73)</f>
        <v>31480</v>
      </c>
      <c r="G74" s="10"/>
      <c r="H74" s="41">
        <f>SUM(H64:H73)</f>
        <v>62960</v>
      </c>
      <c r="I74" s="13">
        <f>SUM(I64:I73)</f>
        <v>60000</v>
      </c>
      <c r="J74" s="41">
        <f>SUM(J64:J73)</f>
        <v>-2960</v>
      </c>
      <c r="O74" s="61">
        <f>SUM(O64:O73)</f>
        <v>105395.28</v>
      </c>
      <c r="P74" s="62">
        <f>SUM(P64:P73)</f>
        <v>78162.599999999991</v>
      </c>
      <c r="Q74" s="40">
        <f>SUM(Q64:Q73)</f>
        <v>183557.88</v>
      </c>
      <c r="R74" s="41">
        <f>SUM(R64:R73)</f>
        <v>188360</v>
      </c>
      <c r="S74" s="41">
        <f>SUM(S64:S73)</f>
        <v>4802.1200000000099</v>
      </c>
      <c r="T74" s="63">
        <f>J74+S74</f>
        <v>1842.1200000000099</v>
      </c>
      <c r="Y74" s="63"/>
      <c r="AD74" s="41">
        <f t="shared" si="57"/>
        <v>1842.1200000000099</v>
      </c>
      <c r="AE74" s="105"/>
      <c r="AF74" s="41"/>
      <c r="AG74" s="64">
        <f>SUM(AG64:AG73)</f>
        <v>4194.4159999999993</v>
      </c>
      <c r="AH74" s="10"/>
      <c r="AI74" s="10"/>
      <c r="AJ74" s="10"/>
      <c r="AK74" s="10"/>
      <c r="AL74" s="10"/>
      <c r="AM74" s="12"/>
      <c r="AN74" s="10"/>
      <c r="AO74" s="12"/>
      <c r="AP74" s="122">
        <f t="shared" si="58"/>
        <v>6036.5360000000092</v>
      </c>
    </row>
    <row r="75" spans="1:42">
      <c r="AD75" s="16"/>
      <c r="AO75" s="61">
        <f>SUM(AO64:AO74)</f>
        <v>126468.83</v>
      </c>
    </row>
    <row r="76" spans="1:42" ht="18.75">
      <c r="A76" s="88" t="s">
        <v>122</v>
      </c>
      <c r="D76" s="92"/>
      <c r="AD76" s="16"/>
    </row>
    <row r="77" spans="1:42">
      <c r="A77" s="65" t="s">
        <v>123</v>
      </c>
      <c r="B77" s="10">
        <v>46</v>
      </c>
      <c r="C77" s="10"/>
      <c r="D77" s="10">
        <v>45</v>
      </c>
      <c r="E77" s="23">
        <v>97.826086956521735</v>
      </c>
      <c r="F77" s="11">
        <v>2000</v>
      </c>
      <c r="G77" s="137">
        <v>2700</v>
      </c>
      <c r="H77" s="55">
        <f>F77+G77</f>
        <v>4700</v>
      </c>
      <c r="I77" s="136">
        <f>I4</f>
        <v>6000</v>
      </c>
      <c r="J77" s="55">
        <f>I77-H77</f>
        <v>1300</v>
      </c>
      <c r="O77" s="23">
        <v>2710</v>
      </c>
      <c r="P77" s="10">
        <v>5315.7</v>
      </c>
      <c r="Q77" s="133">
        <f>O77+P77</f>
        <v>8025.7</v>
      </c>
      <c r="R77" s="17">
        <f>R$4*D77</f>
        <v>15300</v>
      </c>
      <c r="S77" s="17">
        <f>R77-Q77</f>
        <v>7274.3</v>
      </c>
      <c r="AD77" s="122">
        <f>J77+S77</f>
        <v>8574.2999999999993</v>
      </c>
      <c r="AE77" s="66"/>
      <c r="AF77" s="122"/>
      <c r="AG77" s="96"/>
      <c r="AM77" s="10"/>
    </row>
    <row r="78" spans="1:42">
      <c r="A78" s="70" t="s">
        <v>124</v>
      </c>
      <c r="B78" s="12"/>
      <c r="C78" s="10"/>
      <c r="D78" s="12"/>
      <c r="E78" s="18"/>
      <c r="F78" s="11"/>
      <c r="G78" s="138">
        <v>0</v>
      </c>
      <c r="H78" s="55">
        <f t="shared" ref="H78:H90" si="63">F78+G78</f>
        <v>0</v>
      </c>
      <c r="I78" s="136">
        <v>0</v>
      </c>
      <c r="J78" s="55">
        <f t="shared" ref="J78:J90" si="64">I78-H78</f>
        <v>0</v>
      </c>
      <c r="O78" s="23"/>
      <c r="P78" s="10">
        <v>0</v>
      </c>
      <c r="Q78" s="133">
        <f t="shared" ref="Q78:Q90" si="65">O78+P78</f>
        <v>0</v>
      </c>
      <c r="R78" s="17">
        <f t="shared" ref="R78:R87" si="66">213*D78</f>
        <v>0</v>
      </c>
      <c r="S78" s="17">
        <f t="shared" ref="S78:S90" si="67">R78-Q78</f>
        <v>0</v>
      </c>
      <c r="AD78" s="113">
        <f t="shared" ref="AD78:AD90" si="68">J78+S78</f>
        <v>0</v>
      </c>
      <c r="AE78" s="66"/>
      <c r="AF78" s="122"/>
      <c r="AG78" s="96"/>
      <c r="AM78" s="10"/>
    </row>
    <row r="79" spans="1:42">
      <c r="A79" s="67" t="s">
        <v>125</v>
      </c>
      <c r="B79" s="12">
        <v>23</v>
      </c>
      <c r="C79" s="10">
        <v>20</v>
      </c>
      <c r="D79" s="12">
        <v>34</v>
      </c>
      <c r="E79" s="18">
        <v>147.82608695652172</v>
      </c>
      <c r="F79" s="17">
        <v>2000</v>
      </c>
      <c r="G79" s="139">
        <v>2700</v>
      </c>
      <c r="H79" s="55">
        <f t="shared" si="63"/>
        <v>4700</v>
      </c>
      <c r="I79" s="136">
        <f>I$4</f>
        <v>6000</v>
      </c>
      <c r="J79" s="55">
        <f t="shared" si="64"/>
        <v>1300</v>
      </c>
      <c r="O79" s="18">
        <v>0</v>
      </c>
      <c r="P79" s="10">
        <v>0</v>
      </c>
      <c r="Q79" s="133">
        <f t="shared" si="65"/>
        <v>0</v>
      </c>
      <c r="R79" s="17">
        <f>R$4*D79</f>
        <v>11560</v>
      </c>
      <c r="S79" s="17">
        <f t="shared" si="67"/>
        <v>11560</v>
      </c>
      <c r="AD79" s="113">
        <f t="shared" si="68"/>
        <v>12860</v>
      </c>
      <c r="AE79" s="66"/>
      <c r="AF79" s="122"/>
      <c r="AG79" s="96"/>
      <c r="AM79" s="10">
        <v>0</v>
      </c>
    </row>
    <row r="80" spans="1:42">
      <c r="A80" s="67" t="s">
        <v>126</v>
      </c>
      <c r="B80" s="10">
        <v>52</v>
      </c>
      <c r="C80" s="10">
        <v>52</v>
      </c>
      <c r="D80" s="10">
        <v>38</v>
      </c>
      <c r="E80" s="23">
        <v>73.076923076923066</v>
      </c>
      <c r="F80" s="11">
        <v>2000</v>
      </c>
      <c r="G80" s="139">
        <v>2700</v>
      </c>
      <c r="H80" s="55">
        <f t="shared" si="63"/>
        <v>4700</v>
      </c>
      <c r="I80" s="136">
        <f t="shared" ref="I80:I86" si="69">I$4</f>
        <v>6000</v>
      </c>
      <c r="J80" s="55">
        <f t="shared" si="64"/>
        <v>1300</v>
      </c>
      <c r="O80" s="23">
        <v>0</v>
      </c>
      <c r="P80" s="12">
        <v>4524</v>
      </c>
      <c r="Q80" s="133">
        <f t="shared" si="65"/>
        <v>4524</v>
      </c>
      <c r="R80" s="17">
        <f t="shared" ref="R80:R85" si="70">R$4*D80</f>
        <v>12920</v>
      </c>
      <c r="S80" s="17">
        <f t="shared" si="67"/>
        <v>8396</v>
      </c>
      <c r="AD80" s="113">
        <f t="shared" si="68"/>
        <v>9696</v>
      </c>
      <c r="AE80" s="66"/>
      <c r="AF80" s="122"/>
      <c r="AG80" s="96"/>
      <c r="AM80" s="12"/>
    </row>
    <row r="81" spans="1:39">
      <c r="A81" s="69" t="s">
        <v>127</v>
      </c>
      <c r="B81" s="10">
        <v>10</v>
      </c>
      <c r="C81" s="10">
        <v>10</v>
      </c>
      <c r="D81" s="10">
        <v>10</v>
      </c>
      <c r="E81" s="23">
        <v>100</v>
      </c>
      <c r="F81" s="11">
        <v>2000</v>
      </c>
      <c r="G81" s="139">
        <v>2700</v>
      </c>
      <c r="H81" s="55">
        <f t="shared" si="63"/>
        <v>4700</v>
      </c>
      <c r="I81" s="136">
        <f t="shared" si="69"/>
        <v>6000</v>
      </c>
      <c r="J81" s="55">
        <f t="shared" si="64"/>
        <v>1300</v>
      </c>
      <c r="O81" s="23">
        <v>942.50000000000011</v>
      </c>
      <c r="P81" s="12">
        <v>1131</v>
      </c>
      <c r="Q81" s="133">
        <f t="shared" si="65"/>
        <v>2073.5</v>
      </c>
      <c r="R81" s="17">
        <f t="shared" si="70"/>
        <v>3400</v>
      </c>
      <c r="S81" s="17">
        <f t="shared" si="67"/>
        <v>1326.5</v>
      </c>
      <c r="AD81" s="113">
        <f t="shared" si="68"/>
        <v>2626.5</v>
      </c>
      <c r="AE81" s="66"/>
      <c r="AF81" s="122"/>
      <c r="AG81" s="96"/>
      <c r="AM81" s="12">
        <v>275</v>
      </c>
    </row>
    <row r="82" spans="1:39">
      <c r="A82" s="65" t="s">
        <v>128</v>
      </c>
      <c r="B82" s="10">
        <v>20</v>
      </c>
      <c r="C82" s="10">
        <v>23</v>
      </c>
      <c r="D82" s="10">
        <v>19</v>
      </c>
      <c r="E82" s="23">
        <v>95</v>
      </c>
      <c r="F82" s="11">
        <v>2000</v>
      </c>
      <c r="G82" s="139">
        <v>2700</v>
      </c>
      <c r="H82" s="55">
        <f t="shared" si="63"/>
        <v>4700</v>
      </c>
      <c r="I82" s="136">
        <f t="shared" si="69"/>
        <v>6000</v>
      </c>
      <c r="J82" s="55">
        <f t="shared" si="64"/>
        <v>1300</v>
      </c>
      <c r="O82" s="23">
        <v>1140</v>
      </c>
      <c r="P82" s="12">
        <v>2601.3000000000002</v>
      </c>
      <c r="Q82" s="133">
        <f t="shared" si="65"/>
        <v>3741.3</v>
      </c>
      <c r="R82" s="17">
        <f t="shared" si="70"/>
        <v>6460</v>
      </c>
      <c r="S82" s="17">
        <f t="shared" si="67"/>
        <v>2718.7</v>
      </c>
      <c r="AD82" s="113">
        <f t="shared" si="68"/>
        <v>4018.7</v>
      </c>
      <c r="AE82" s="66"/>
      <c r="AF82" s="122"/>
      <c r="AG82" s="96"/>
      <c r="AM82" s="150">
        <v>3000</v>
      </c>
    </row>
    <row r="83" spans="1:39">
      <c r="A83" s="70" t="s">
        <v>129</v>
      </c>
      <c r="B83" s="10">
        <v>71</v>
      </c>
      <c r="C83" s="10">
        <v>71</v>
      </c>
      <c r="D83" s="10">
        <v>62</v>
      </c>
      <c r="E83" s="23">
        <v>87.323943661971825</v>
      </c>
      <c r="F83" s="11">
        <v>0</v>
      </c>
      <c r="G83" s="139">
        <v>2700</v>
      </c>
      <c r="H83" s="55">
        <f t="shared" si="63"/>
        <v>2700</v>
      </c>
      <c r="I83" s="136">
        <f t="shared" si="69"/>
        <v>6000</v>
      </c>
      <c r="J83" s="55">
        <f t="shared" si="64"/>
        <v>3300</v>
      </c>
      <c r="O83" s="23">
        <v>7012.2000000000007</v>
      </c>
      <c r="P83" s="12">
        <v>7012.2</v>
      </c>
      <c r="Q83" s="133">
        <f t="shared" si="65"/>
        <v>14024.400000000001</v>
      </c>
      <c r="R83" s="17">
        <f t="shared" si="70"/>
        <v>21080</v>
      </c>
      <c r="S83" s="17">
        <f t="shared" si="67"/>
        <v>7055.5999999999985</v>
      </c>
      <c r="AD83" s="113">
        <f t="shared" si="68"/>
        <v>10355.599999999999</v>
      </c>
      <c r="AE83" s="66"/>
      <c r="AF83" s="122"/>
      <c r="AG83" s="96"/>
      <c r="AM83" s="10"/>
    </row>
    <row r="84" spans="1:39">
      <c r="A84" s="70" t="s">
        <v>130</v>
      </c>
      <c r="B84" s="10">
        <v>0</v>
      </c>
      <c r="C84" s="10">
        <v>170</v>
      </c>
      <c r="D84" s="10">
        <f>822/6</f>
        <v>137</v>
      </c>
      <c r="E84" s="23"/>
      <c r="F84" s="11">
        <v>2000</v>
      </c>
      <c r="G84" s="139">
        <v>2700</v>
      </c>
      <c r="H84" s="55">
        <f t="shared" si="63"/>
        <v>4700</v>
      </c>
      <c r="I84" s="136">
        <f t="shared" si="69"/>
        <v>6000</v>
      </c>
      <c r="J84" s="55">
        <f t="shared" si="64"/>
        <v>1300</v>
      </c>
      <c r="O84" s="23">
        <v>8220</v>
      </c>
      <c r="P84" s="12">
        <v>15494.7</v>
      </c>
      <c r="Q84" s="133">
        <f t="shared" si="65"/>
        <v>23714.7</v>
      </c>
      <c r="R84" s="17">
        <f t="shared" si="70"/>
        <v>46580</v>
      </c>
      <c r="S84" s="17">
        <f t="shared" si="67"/>
        <v>22865.3</v>
      </c>
      <c r="AD84" s="113">
        <f t="shared" si="68"/>
        <v>24165.3</v>
      </c>
      <c r="AE84" s="66"/>
      <c r="AF84" s="122"/>
      <c r="AG84" s="96"/>
      <c r="AM84" s="10">
        <v>0</v>
      </c>
    </row>
    <row r="85" spans="1:39">
      <c r="A85" s="67" t="s">
        <v>131</v>
      </c>
      <c r="B85" s="10">
        <v>171</v>
      </c>
      <c r="C85" s="10">
        <v>169</v>
      </c>
      <c r="D85" s="10">
        <v>57</v>
      </c>
      <c r="E85" s="23">
        <v>33.333333333333329</v>
      </c>
      <c r="F85" s="11">
        <v>2000</v>
      </c>
      <c r="G85" s="139">
        <v>2700</v>
      </c>
      <c r="H85" s="55">
        <f t="shared" si="63"/>
        <v>4700</v>
      </c>
      <c r="I85" s="136">
        <f t="shared" si="69"/>
        <v>6000</v>
      </c>
      <c r="J85" s="55">
        <f t="shared" si="64"/>
        <v>1300</v>
      </c>
      <c r="O85" s="23">
        <v>6316.74</v>
      </c>
      <c r="P85" s="12">
        <v>6220.5</v>
      </c>
      <c r="Q85" s="133">
        <f t="shared" si="65"/>
        <v>12537.24</v>
      </c>
      <c r="R85" s="17">
        <f t="shared" si="70"/>
        <v>19380</v>
      </c>
      <c r="S85" s="17">
        <f t="shared" si="67"/>
        <v>6842.76</v>
      </c>
      <c r="AD85" s="113">
        <f t="shared" si="68"/>
        <v>8142.76</v>
      </c>
      <c r="AE85" s="66"/>
      <c r="AF85" s="122"/>
      <c r="AG85" s="96"/>
      <c r="AM85" s="10"/>
    </row>
    <row r="86" spans="1:39">
      <c r="A86" s="70" t="s">
        <v>132</v>
      </c>
      <c r="B86" s="10">
        <v>100</v>
      </c>
      <c r="C86" s="10">
        <v>100</v>
      </c>
      <c r="D86" s="10">
        <v>65</v>
      </c>
      <c r="E86" s="23">
        <v>65</v>
      </c>
      <c r="F86" s="11">
        <v>2000</v>
      </c>
      <c r="G86" s="139">
        <v>2700</v>
      </c>
      <c r="H86" s="55">
        <f t="shared" si="63"/>
        <v>4700</v>
      </c>
      <c r="I86" s="136">
        <f t="shared" si="69"/>
        <v>6000</v>
      </c>
      <c r="J86" s="55">
        <f t="shared" si="64"/>
        <v>1300</v>
      </c>
      <c r="O86" s="23">
        <v>0</v>
      </c>
      <c r="P86" s="12">
        <v>0</v>
      </c>
      <c r="Q86" s="133">
        <f t="shared" si="65"/>
        <v>0</v>
      </c>
      <c r="R86" s="17">
        <f t="shared" si="66"/>
        <v>13845</v>
      </c>
      <c r="S86" s="17">
        <f t="shared" si="67"/>
        <v>13845</v>
      </c>
      <c r="AD86" s="113">
        <f t="shared" si="68"/>
        <v>15145</v>
      </c>
      <c r="AE86" s="66"/>
      <c r="AF86" s="122"/>
      <c r="AG86" s="96"/>
      <c r="AM86" s="10"/>
    </row>
    <row r="87" spans="1:39">
      <c r="A87" s="71" t="s">
        <v>133</v>
      </c>
      <c r="B87" s="10"/>
      <c r="C87" s="10">
        <v>0</v>
      </c>
      <c r="D87" s="10"/>
      <c r="E87" s="23"/>
      <c r="F87" s="11"/>
      <c r="G87" s="137">
        <v>0</v>
      </c>
      <c r="H87" s="55">
        <f t="shared" si="63"/>
        <v>0</v>
      </c>
      <c r="I87" s="136">
        <v>0</v>
      </c>
      <c r="J87" s="55">
        <f t="shared" si="64"/>
        <v>0</v>
      </c>
      <c r="O87" s="23"/>
      <c r="P87" s="10">
        <v>0</v>
      </c>
      <c r="Q87" s="133">
        <f t="shared" si="65"/>
        <v>0</v>
      </c>
      <c r="R87" s="17">
        <f t="shared" si="66"/>
        <v>0</v>
      </c>
      <c r="S87" s="17">
        <f t="shared" si="67"/>
        <v>0</v>
      </c>
      <c r="AD87" s="113">
        <f t="shared" si="68"/>
        <v>0</v>
      </c>
      <c r="AE87" s="66"/>
      <c r="AF87" s="122"/>
      <c r="AG87" s="96"/>
      <c r="AM87" s="10">
        <v>0</v>
      </c>
    </row>
    <row r="88" spans="1:39">
      <c r="A88" s="71" t="s">
        <v>134</v>
      </c>
      <c r="B88" s="10">
        <v>23</v>
      </c>
      <c r="C88" s="10">
        <v>25</v>
      </c>
      <c r="D88" s="10">
        <v>13</v>
      </c>
      <c r="E88" s="23">
        <v>56.521739130434781</v>
      </c>
      <c r="F88" s="11">
        <v>2000</v>
      </c>
      <c r="G88" s="137">
        <v>2700</v>
      </c>
      <c r="H88" s="55">
        <f t="shared" si="63"/>
        <v>4700</v>
      </c>
      <c r="I88" s="136">
        <f>I$4</f>
        <v>6000</v>
      </c>
      <c r="J88" s="55">
        <f t="shared" si="64"/>
        <v>1300</v>
      </c>
      <c r="O88" s="23">
        <v>780</v>
      </c>
      <c r="P88" s="10">
        <v>1470.3</v>
      </c>
      <c r="Q88" s="133">
        <f t="shared" si="65"/>
        <v>2250.3000000000002</v>
      </c>
      <c r="R88" s="17">
        <f>R$4*D88</f>
        <v>4420</v>
      </c>
      <c r="S88" s="17">
        <f>R88-Q88</f>
        <v>2169.6999999999998</v>
      </c>
      <c r="AD88" s="113">
        <f t="shared" si="68"/>
        <v>3469.7</v>
      </c>
      <c r="AE88" s="66"/>
      <c r="AF88" s="122"/>
      <c r="AG88" s="96"/>
      <c r="AM88" s="10"/>
    </row>
    <row r="89" spans="1:39">
      <c r="A89" s="12" t="s">
        <v>135</v>
      </c>
      <c r="B89" s="10">
        <v>147</v>
      </c>
      <c r="C89" s="10"/>
      <c r="D89" s="10">
        <v>147</v>
      </c>
      <c r="E89" s="23">
        <v>100</v>
      </c>
      <c r="F89" s="11">
        <v>2000</v>
      </c>
      <c r="G89" s="137">
        <v>2700</v>
      </c>
      <c r="H89" s="55">
        <f t="shared" si="63"/>
        <v>4700</v>
      </c>
      <c r="I89" s="136">
        <f>I$4</f>
        <v>6000</v>
      </c>
      <c r="J89" s="55">
        <f t="shared" si="64"/>
        <v>1300</v>
      </c>
      <c r="O89" s="23">
        <v>5660</v>
      </c>
      <c r="P89" s="10">
        <v>8162.05</v>
      </c>
      <c r="Q89" s="133">
        <f t="shared" si="65"/>
        <v>13822.05</v>
      </c>
      <c r="R89" s="17">
        <f>R$4*D89</f>
        <v>49980</v>
      </c>
      <c r="S89" s="17">
        <f>R89-Q89</f>
        <v>36157.949999999997</v>
      </c>
      <c r="AD89" s="113">
        <f t="shared" si="68"/>
        <v>37457.949999999997</v>
      </c>
      <c r="AE89" s="66"/>
      <c r="AF89" s="122"/>
      <c r="AG89" s="96"/>
      <c r="AM89" s="10">
        <v>0</v>
      </c>
    </row>
    <row r="90" spans="1:39" ht="30">
      <c r="A90" s="72" t="s">
        <v>136</v>
      </c>
      <c r="B90" s="10">
        <v>30</v>
      </c>
      <c r="C90" s="10">
        <v>12</v>
      </c>
      <c r="D90" s="10">
        <v>27</v>
      </c>
      <c r="E90" s="23">
        <v>90</v>
      </c>
      <c r="F90" s="11">
        <v>2000</v>
      </c>
      <c r="G90" s="140">
        <v>2700</v>
      </c>
      <c r="H90" s="55">
        <f t="shared" si="63"/>
        <v>4700</v>
      </c>
      <c r="I90" s="136">
        <f>I$4</f>
        <v>6000</v>
      </c>
      <c r="J90" s="55">
        <f t="shared" si="64"/>
        <v>1300</v>
      </c>
      <c r="O90" s="23">
        <v>0</v>
      </c>
      <c r="P90" s="10">
        <v>0</v>
      </c>
      <c r="Q90" s="133">
        <f t="shared" si="65"/>
        <v>0</v>
      </c>
      <c r="R90" s="17">
        <f>R$4*D90</f>
        <v>9180</v>
      </c>
      <c r="S90" s="17">
        <f t="shared" si="67"/>
        <v>9180</v>
      </c>
      <c r="T90" t="s">
        <v>137</v>
      </c>
      <c r="AD90" s="113">
        <f t="shared" si="68"/>
        <v>10480</v>
      </c>
      <c r="AE90" s="66"/>
      <c r="AF90" s="122"/>
      <c r="AG90" s="96"/>
      <c r="AM90" s="10">
        <v>0</v>
      </c>
    </row>
    <row r="91" spans="1:39" ht="15.75" thickBot="1">
      <c r="A91" s="9" t="s">
        <v>101</v>
      </c>
      <c r="B91" s="10"/>
      <c r="C91" s="10"/>
      <c r="D91" s="9">
        <f>SUM(D77:D90)</f>
        <v>654</v>
      </c>
      <c r="F91" s="41">
        <f>SUM(F77:F90)</f>
        <v>22000</v>
      </c>
      <c r="H91" s="41">
        <f>SUM(H77:H90)</f>
        <v>54400</v>
      </c>
      <c r="I91" s="135">
        <f>SUM(I77:I90)</f>
        <v>72000</v>
      </c>
      <c r="J91" s="41">
        <f>SUM(J77:J90)</f>
        <v>17600</v>
      </c>
      <c r="O91" s="42">
        <f>SUM(O77:O90)</f>
        <v>32781.440000000002</v>
      </c>
      <c r="P91" s="9">
        <f>SUM(P77:P90)</f>
        <v>51931.750000000007</v>
      </c>
      <c r="Q91" s="42">
        <f>SUM(Q77:Q90)</f>
        <v>84713.190000000017</v>
      </c>
      <c r="R91" s="41">
        <f>SUM(R77:R90)</f>
        <v>214105</v>
      </c>
      <c r="S91" s="41">
        <f>SUM(S77:S90)</f>
        <v>129391.80999999998</v>
      </c>
      <c r="T91" s="63">
        <f>J91+S91</f>
        <v>146991.81</v>
      </c>
      <c r="AD91" s="114">
        <f>SUM(AD77:AD90)</f>
        <v>146991.81</v>
      </c>
      <c r="AE91" s="105"/>
      <c r="AF91" s="41"/>
      <c r="AG91" s="93"/>
      <c r="AM91" s="135">
        <v>3275</v>
      </c>
    </row>
    <row r="93" spans="1:39">
      <c r="A93" s="75" t="s">
        <v>138</v>
      </c>
      <c r="D93" s="76">
        <f>D60+D74+D91</f>
        <v>8884</v>
      </c>
      <c r="H93" s="77">
        <f>H60+H74+H91</f>
        <v>406183.5</v>
      </c>
      <c r="I93" s="152">
        <f>I60+I74+I91</f>
        <v>552000</v>
      </c>
      <c r="Q93" s="78">
        <f>Q60+Q74+Q91</f>
        <v>1209153.8699999996</v>
      </c>
      <c r="R93" s="154">
        <f>R60+R74+R91</f>
        <v>2484324</v>
      </c>
      <c r="AE93" s="94"/>
      <c r="AF93" s="94"/>
      <c r="AG93" s="94"/>
    </row>
    <row r="94" spans="1:39">
      <c r="H94" t="s">
        <v>186</v>
      </c>
      <c r="I94" s="77">
        <f>H93-I93</f>
        <v>-145816.5</v>
      </c>
      <c r="Q94" t="s">
        <v>186</v>
      </c>
      <c r="R94" s="155">
        <f>Q93-R93</f>
        <v>-1275170.1300000004</v>
      </c>
      <c r="AE94" s="95"/>
      <c r="AF94" s="95"/>
      <c r="AG94" s="95"/>
    </row>
    <row r="95" spans="1:39" ht="15.75" thickBot="1">
      <c r="Q95" t="s">
        <v>191</v>
      </c>
    </row>
    <row r="96" spans="1:39">
      <c r="A96" s="79" t="s">
        <v>139</v>
      </c>
      <c r="Q96" t="s">
        <v>192</v>
      </c>
    </row>
    <row r="97" spans="1:9" ht="15.75" thickBot="1">
      <c r="A97" s="80">
        <v>3040000</v>
      </c>
    </row>
    <row r="98" spans="1:9">
      <c r="A98" s="173"/>
    </row>
    <row r="100" spans="1:9">
      <c r="A100" s="10" t="s">
        <v>140</v>
      </c>
      <c r="B100" s="10" t="s">
        <v>141</v>
      </c>
      <c r="C100" s="10"/>
      <c r="D100" s="11">
        <f>A97*0.7</f>
        <v>2128000</v>
      </c>
      <c r="E100" s="10" t="s">
        <v>149</v>
      </c>
      <c r="F100" s="55">
        <f>I93</f>
        <v>552000</v>
      </c>
      <c r="G100" s="10" t="s">
        <v>207</v>
      </c>
      <c r="H100" t="s">
        <v>217</v>
      </c>
    </row>
    <row r="101" spans="1:9">
      <c r="A101" s="10" t="s">
        <v>143</v>
      </c>
      <c r="B101" s="10" t="s">
        <v>144</v>
      </c>
      <c r="C101" s="10"/>
      <c r="D101" s="10"/>
      <c r="E101" s="10" t="s">
        <v>145</v>
      </c>
      <c r="F101" s="55">
        <f>D100-F100</f>
        <v>1576000</v>
      </c>
      <c r="G101" s="10"/>
      <c r="H101" s="82">
        <f>F101/D93</f>
        <v>177.39756866276451</v>
      </c>
      <c r="I101" s="51">
        <v>213</v>
      </c>
    </row>
    <row r="102" spans="1:9">
      <c r="A102" s="12" t="s">
        <v>147</v>
      </c>
      <c r="B102" s="10" t="s">
        <v>148</v>
      </c>
      <c r="C102" s="10"/>
      <c r="D102" s="11">
        <f>A97*0.3</f>
        <v>912000</v>
      </c>
      <c r="E102" s="10" t="s">
        <v>149</v>
      </c>
      <c r="F102" s="11">
        <f>R93</f>
        <v>2484324</v>
      </c>
      <c r="G102" s="10" t="s">
        <v>206</v>
      </c>
    </row>
    <row r="104" spans="1:9">
      <c r="A104" s="51" t="s">
        <v>150</v>
      </c>
      <c r="E104" s="166"/>
      <c r="F104" s="167">
        <v>95000</v>
      </c>
      <c r="G104" t="s">
        <v>209</v>
      </c>
    </row>
    <row r="105" spans="1:9">
      <c r="A105" t="s">
        <v>151</v>
      </c>
      <c r="B105" s="85">
        <v>726076.14000000013</v>
      </c>
      <c r="F105" s="165">
        <v>200000</v>
      </c>
      <c r="G105" t="s">
        <v>208</v>
      </c>
    </row>
    <row r="106" spans="1:9">
      <c r="A106" t="s">
        <v>152</v>
      </c>
      <c r="B106" s="86">
        <v>126468.83</v>
      </c>
      <c r="F106">
        <v>0</v>
      </c>
      <c r="G106" t="s">
        <v>210</v>
      </c>
    </row>
    <row r="107" spans="1:9">
      <c r="A107" t="s">
        <v>122</v>
      </c>
      <c r="B107" s="85">
        <v>3275</v>
      </c>
      <c r="F107" s="168">
        <f>D102</f>
        <v>912000</v>
      </c>
      <c r="G107" t="s">
        <v>211</v>
      </c>
    </row>
    <row r="108" spans="1:9">
      <c r="A108" s="51" t="s">
        <v>101</v>
      </c>
      <c r="B108" s="77">
        <f>SUM(B105:B107)</f>
        <v>855819.97000000009</v>
      </c>
      <c r="E108" s="174" t="s">
        <v>101</v>
      </c>
      <c r="F108" s="175">
        <f>F100+F102+F104+F105+F107</f>
        <v>4243324</v>
      </c>
      <c r="G108" t="s">
        <v>218</v>
      </c>
    </row>
    <row r="109" spans="1:9" ht="15.75" thickBot="1"/>
    <row r="110" spans="1:9">
      <c r="E110" s="169" t="s">
        <v>204</v>
      </c>
      <c r="F110" s="170"/>
      <c r="G110" t="s">
        <v>212</v>
      </c>
    </row>
    <row r="111" spans="1:9" ht="15.75" thickBot="1">
      <c r="E111" s="171"/>
      <c r="F111" s="172">
        <f>F108-A97</f>
        <v>1203324</v>
      </c>
    </row>
    <row r="112" spans="1:9">
      <c r="F112" s="16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U114"/>
  <sheetViews>
    <sheetView topLeftCell="A91" zoomScaleNormal="100" workbookViewId="0">
      <pane xSplit="1" topLeftCell="B1" activePane="topRight" state="frozen"/>
      <selection pane="topRight" activeCell="AE4" sqref="AE4"/>
    </sheetView>
  </sheetViews>
  <sheetFormatPr defaultColWidth="75.140625" defaultRowHeight="15"/>
  <cols>
    <col min="1" max="1" width="42.85546875" style="183" customWidth="1"/>
    <col min="2" max="2" width="13.7109375" style="183" customWidth="1"/>
    <col min="3" max="3" width="11.85546875" style="183" customWidth="1"/>
    <col min="4" max="4" width="11.28515625" style="183" customWidth="1"/>
    <col min="5" max="5" width="12" style="183" hidden="1" customWidth="1"/>
    <col min="6" max="6" width="15" style="183" hidden="1" customWidth="1"/>
    <col min="7" max="7" width="13.7109375" style="183" hidden="1" customWidth="1"/>
    <col min="8" max="8" width="11.7109375" style="183" hidden="1" customWidth="1"/>
    <col min="9" max="9" width="9.42578125" style="183" hidden="1" customWidth="1"/>
    <col min="10" max="10" width="10.5703125" style="183" hidden="1" customWidth="1"/>
    <col min="11" max="11" width="19.5703125" style="183" hidden="1" customWidth="1"/>
    <col min="12" max="12" width="11.5703125" style="183" hidden="1" customWidth="1"/>
    <col min="13" max="13" width="16.140625" style="183" hidden="1" customWidth="1"/>
    <col min="14" max="14" width="9.85546875" style="183" hidden="1" customWidth="1"/>
    <col min="15" max="15" width="15.7109375" style="183" hidden="1" customWidth="1"/>
    <col min="16" max="16" width="14.140625" style="183" hidden="1" customWidth="1"/>
    <col min="17" max="17" width="13.85546875" style="183" customWidth="1"/>
    <col min="18" max="18" width="15.85546875" style="211" customWidth="1"/>
    <col min="19" max="19" width="12.85546875" style="211" customWidth="1"/>
    <col min="20" max="20" width="19.5703125" style="183" hidden="1" customWidth="1"/>
    <col min="21" max="22" width="11.42578125" style="183" hidden="1" customWidth="1"/>
    <col min="23" max="24" width="14" style="183" hidden="1" customWidth="1"/>
    <col min="25" max="25" width="12.7109375" style="183" hidden="1" customWidth="1"/>
    <col min="26" max="26" width="15.28515625" style="183" hidden="1" customWidth="1"/>
    <col min="27" max="27" width="14.5703125" style="183" hidden="1" customWidth="1"/>
    <col min="28" max="28" width="15.42578125" style="183" hidden="1" customWidth="1"/>
    <col min="29" max="29" width="13.42578125" style="211" hidden="1" customWidth="1"/>
    <col min="30" max="30" width="15.42578125" style="211" customWidth="1"/>
    <col min="31" max="31" width="11.85546875" style="211" customWidth="1"/>
    <col min="32" max="33" width="15.42578125" style="211" customWidth="1"/>
    <col min="34" max="34" width="15.5703125" style="183" customWidth="1"/>
    <col min="35" max="35" width="20.28515625" style="183" customWidth="1"/>
    <col min="36" max="36" width="21.5703125" style="183" customWidth="1"/>
    <col min="37" max="37" width="22.7109375" style="183" hidden="1" customWidth="1"/>
    <col min="38" max="38" width="40.42578125" style="183" hidden="1" customWidth="1"/>
    <col min="39" max="41" width="13.5703125" style="183" customWidth="1"/>
    <col min="42" max="42" width="17.85546875" style="197" customWidth="1"/>
    <col min="43" max="43" width="12.7109375" style="197" customWidth="1"/>
    <col min="44" max="44" width="17.85546875" style="197" customWidth="1"/>
    <col min="45" max="45" width="13.5703125" style="197" customWidth="1"/>
    <col min="46" max="46" width="27" style="197" customWidth="1"/>
    <col min="47" max="47" width="18.28515625" style="197" customWidth="1"/>
    <col min="48" max="16384" width="75.140625" style="183"/>
  </cols>
  <sheetData>
    <row r="1" spans="1:47">
      <c r="A1" s="51" t="s">
        <v>225</v>
      </c>
      <c r="B1" s="216" t="s">
        <v>226</v>
      </c>
      <c r="F1" s="216" t="s">
        <v>221</v>
      </c>
    </row>
    <row r="2" spans="1:47">
      <c r="A2" s="216"/>
      <c r="B2" s="216"/>
      <c r="F2" s="216"/>
    </row>
    <row r="3" spans="1:47" ht="30">
      <c r="A3" s="273" t="s">
        <v>233</v>
      </c>
      <c r="B3" s="266" t="s">
        <v>227</v>
      </c>
      <c r="C3" s="266" t="s">
        <v>228</v>
      </c>
      <c r="D3" s="266" t="s">
        <v>229</v>
      </c>
      <c r="E3" s="274"/>
      <c r="F3" s="26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66" t="s">
        <v>230</v>
      </c>
      <c r="R3" s="266" t="s">
        <v>231</v>
      </c>
      <c r="S3" s="266" t="s">
        <v>232</v>
      </c>
      <c r="AE3" s="211" t="s">
        <v>205</v>
      </c>
    </row>
    <row r="4" spans="1:47">
      <c r="A4" s="275" t="s">
        <v>235</v>
      </c>
      <c r="B4" s="276">
        <v>25</v>
      </c>
      <c r="C4" s="276">
        <v>50</v>
      </c>
      <c r="D4" s="276">
        <v>100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6">
        <v>200</v>
      </c>
      <c r="R4" s="276">
        <v>400</v>
      </c>
      <c r="S4" s="276">
        <v>2000</v>
      </c>
    </row>
    <row r="5" spans="1:47">
      <c r="A5" s="275" t="s">
        <v>236</v>
      </c>
      <c r="B5" s="276">
        <v>25</v>
      </c>
      <c r="C5" s="276">
        <v>25</v>
      </c>
      <c r="D5" s="276">
        <v>50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6">
        <v>100</v>
      </c>
      <c r="R5" s="276">
        <v>200</v>
      </c>
      <c r="S5" s="276">
        <v>1600</v>
      </c>
    </row>
    <row r="6" spans="1:47">
      <c r="A6" s="264" t="s">
        <v>217</v>
      </c>
      <c r="B6" s="264">
        <v>500</v>
      </c>
      <c r="C6" s="264">
        <v>400</v>
      </c>
      <c r="D6" s="264">
        <v>200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>
        <v>100</v>
      </c>
      <c r="R6" s="264">
        <v>50</v>
      </c>
      <c r="S6" s="264">
        <v>25</v>
      </c>
    </row>
    <row r="7" spans="1:47">
      <c r="B7" s="216"/>
      <c r="F7" s="216"/>
    </row>
    <row r="8" spans="1:47">
      <c r="B8" s="216"/>
      <c r="F8" s="216"/>
    </row>
    <row r="9" spans="1:47" ht="15.75" thickBot="1"/>
    <row r="10" spans="1:47" ht="120">
      <c r="A10" s="245" t="s">
        <v>0</v>
      </c>
      <c r="B10" s="184" t="s">
        <v>1</v>
      </c>
      <c r="C10" s="184" t="s">
        <v>2</v>
      </c>
      <c r="D10" s="185" t="s">
        <v>3</v>
      </c>
      <c r="E10" s="184" t="s">
        <v>153</v>
      </c>
      <c r="F10" s="184" t="s">
        <v>180</v>
      </c>
      <c r="G10" s="184" t="s">
        <v>181</v>
      </c>
      <c r="H10" s="248" t="s">
        <v>4</v>
      </c>
      <c r="I10" s="186" t="s">
        <v>154</v>
      </c>
      <c r="J10" s="187" t="s">
        <v>155</v>
      </c>
      <c r="K10" s="184" t="s">
        <v>7</v>
      </c>
      <c r="L10" s="184"/>
      <c r="M10" s="184"/>
      <c r="N10" s="184"/>
      <c r="O10" s="184" t="s">
        <v>182</v>
      </c>
      <c r="P10" s="184" t="s">
        <v>183</v>
      </c>
      <c r="Q10" s="248" t="s">
        <v>10</v>
      </c>
      <c r="R10" s="186" t="s">
        <v>234</v>
      </c>
      <c r="S10" s="187" t="s">
        <v>12</v>
      </c>
      <c r="T10" s="184" t="s">
        <v>13</v>
      </c>
      <c r="U10" s="184" t="s">
        <v>14</v>
      </c>
      <c r="V10" s="184" t="s">
        <v>15</v>
      </c>
      <c r="W10" s="248" t="s">
        <v>16</v>
      </c>
      <c r="X10" s="185" t="s">
        <v>17</v>
      </c>
      <c r="Y10" s="188" t="s">
        <v>18</v>
      </c>
      <c r="Z10" s="184" t="s">
        <v>184</v>
      </c>
      <c r="AA10" s="184" t="s">
        <v>19</v>
      </c>
      <c r="AB10" s="248" t="s">
        <v>20</v>
      </c>
      <c r="AC10" s="255" t="s">
        <v>157</v>
      </c>
      <c r="AD10" s="258" t="s">
        <v>21</v>
      </c>
      <c r="AE10" s="256" t="s">
        <v>22</v>
      </c>
      <c r="AF10" s="189" t="s">
        <v>23</v>
      </c>
      <c r="AG10" s="254" t="s">
        <v>156</v>
      </c>
      <c r="AH10" s="184" t="s">
        <v>24</v>
      </c>
      <c r="AI10" s="184" t="s">
        <v>25</v>
      </c>
      <c r="AJ10" s="184" t="s">
        <v>26</v>
      </c>
      <c r="AK10" s="184" t="s">
        <v>27</v>
      </c>
      <c r="AL10" s="184" t="s">
        <v>28</v>
      </c>
      <c r="AM10" s="184" t="s">
        <v>29</v>
      </c>
      <c r="AN10" s="184" t="s">
        <v>30</v>
      </c>
      <c r="AO10" s="184" t="s">
        <v>31</v>
      </c>
      <c r="AP10" s="190"/>
      <c r="AQ10" s="190"/>
      <c r="AR10" s="190"/>
      <c r="AS10" s="190"/>
      <c r="AT10" s="190"/>
      <c r="AU10" s="191"/>
    </row>
    <row r="11" spans="1:47" ht="18.75">
      <c r="A11" s="246" t="s">
        <v>32</v>
      </c>
      <c r="B11" s="193"/>
      <c r="C11" s="193"/>
      <c r="D11" s="11"/>
      <c r="E11" s="193"/>
      <c r="F11" s="193"/>
      <c r="G11" s="193"/>
      <c r="H11" s="193"/>
      <c r="I11" s="265">
        <v>3000</v>
      </c>
      <c r="J11" s="193"/>
      <c r="K11" s="237" t="s">
        <v>33</v>
      </c>
      <c r="L11" s="237" t="s">
        <v>34</v>
      </c>
      <c r="M11" s="237" t="s">
        <v>35</v>
      </c>
      <c r="N11" s="237" t="s">
        <v>34</v>
      </c>
      <c r="O11" s="237" t="s">
        <v>36</v>
      </c>
      <c r="P11" s="193"/>
      <c r="Q11" s="193"/>
      <c r="R11" s="151">
        <v>213</v>
      </c>
      <c r="S11" s="194"/>
      <c r="T11" s="237" t="s">
        <v>37</v>
      </c>
      <c r="U11" s="237" t="s">
        <v>34</v>
      </c>
      <c r="V11" s="237" t="s">
        <v>34</v>
      </c>
      <c r="W11" s="237" t="s">
        <v>34</v>
      </c>
      <c r="X11" s="193"/>
      <c r="Y11" s="237">
        <v>1</v>
      </c>
      <c r="Z11" s="237" t="s">
        <v>34</v>
      </c>
      <c r="AA11" s="193"/>
      <c r="AB11" s="193"/>
      <c r="AC11" s="236"/>
      <c r="AD11" s="259"/>
      <c r="AE11" s="231"/>
      <c r="AF11" s="194"/>
      <c r="AG11" s="98">
        <v>200000</v>
      </c>
      <c r="AH11" s="193"/>
      <c r="AI11" s="193"/>
      <c r="AJ11" s="193"/>
      <c r="AK11" s="193"/>
      <c r="AL11" s="193"/>
      <c r="AM11" s="195"/>
      <c r="AN11" s="195"/>
      <c r="AO11" s="195"/>
      <c r="AP11" s="196"/>
      <c r="AQ11" s="196"/>
      <c r="AR11" s="196"/>
      <c r="AS11" s="196"/>
    </row>
    <row r="12" spans="1:47">
      <c r="A12" s="194" t="s">
        <v>38</v>
      </c>
      <c r="B12" s="17">
        <v>139</v>
      </c>
      <c r="C12" s="194">
        <v>139</v>
      </c>
      <c r="D12" s="17">
        <v>73</v>
      </c>
      <c r="E12" s="18">
        <v>52.517985611510788</v>
      </c>
      <c r="F12" s="18">
        <v>2490</v>
      </c>
      <c r="G12" s="17">
        <v>2490</v>
      </c>
      <c r="H12" s="17">
        <f>F12+G12</f>
        <v>4980</v>
      </c>
      <c r="I12" s="17">
        <v>3000</v>
      </c>
      <c r="J12" s="17">
        <f>I12-H12</f>
        <v>-1980</v>
      </c>
      <c r="K12" s="194">
        <v>352</v>
      </c>
      <c r="L12" s="18">
        <v>4576</v>
      </c>
      <c r="M12" s="18">
        <v>56</v>
      </c>
      <c r="N12" s="18">
        <v>173.6</v>
      </c>
      <c r="O12" s="18">
        <v>4749.6000000000004</v>
      </c>
      <c r="P12" s="18">
        <v>4749.6000000000004</v>
      </c>
      <c r="Q12" s="18">
        <f>O12+P12</f>
        <v>9499.2000000000007</v>
      </c>
      <c r="R12" s="17">
        <f>(25*B6)+(25*C6)+(23*D6)</f>
        <v>27100</v>
      </c>
      <c r="S12" s="18">
        <f>R12-Q12</f>
        <v>17600.8</v>
      </c>
      <c r="T12" s="18">
        <v>298</v>
      </c>
      <c r="U12" s="18">
        <v>0</v>
      </c>
      <c r="V12" s="19">
        <v>9834</v>
      </c>
      <c r="W12" s="19">
        <f>U12+V12</f>
        <v>9834</v>
      </c>
      <c r="X12" s="20">
        <f>W12/33</f>
        <v>298</v>
      </c>
      <c r="Y12" s="19">
        <f>-W12*Y11</f>
        <v>-9834</v>
      </c>
      <c r="Z12" s="194"/>
      <c r="AA12" s="198"/>
      <c r="AB12" s="18">
        <f>Z12+AA12</f>
        <v>0</v>
      </c>
      <c r="AC12" s="100">
        <f>-AB12</f>
        <v>0</v>
      </c>
      <c r="AD12" s="108">
        <f>J12+S12+Y12+AC12+AG12</f>
        <v>9928.3046797419302</v>
      </c>
      <c r="AE12" s="103">
        <f>E12</f>
        <v>52.517985611510788</v>
      </c>
      <c r="AF12" s="22">
        <f>X12*AE12/100</f>
        <v>156.50359712230215</v>
      </c>
      <c r="AG12" s="22">
        <f>AF12*AG11/AF67</f>
        <v>4141.5046797419318</v>
      </c>
      <c r="AH12" s="199"/>
      <c r="AI12" s="199">
        <f t="shared" ref="AI12:AI66" si="0">U12+AH12</f>
        <v>0</v>
      </c>
      <c r="AJ12" s="199">
        <v>18788.900000000001</v>
      </c>
      <c r="AK12" s="199">
        <f>AI12-AJ12</f>
        <v>-18788.900000000001</v>
      </c>
      <c r="AL12" s="199"/>
      <c r="AM12" s="199"/>
      <c r="AN12" s="199"/>
      <c r="AO12" s="199">
        <f>AM12+AN12</f>
        <v>0</v>
      </c>
      <c r="AP12" s="196"/>
      <c r="AQ12" s="196"/>
      <c r="AR12" s="196"/>
      <c r="AS12" s="196"/>
    </row>
    <row r="13" spans="1:47">
      <c r="A13" s="193" t="str">
        <f>'[1]Fredericia Ordningen 2015 - ans'!A4:B4</f>
        <v>Bowlingklubben Pletten</v>
      </c>
      <c r="B13" s="11">
        <f>'[1]Fredericia Ordningen 2015 - ans'!C10</f>
        <v>45</v>
      </c>
      <c r="C13" s="194"/>
      <c r="D13" s="11">
        <f>'[1]Fredericia Ordningen 2015 - ans'!C11</f>
        <v>10</v>
      </c>
      <c r="E13" s="23">
        <f>D13/B13*100</f>
        <v>22.222222222222221</v>
      </c>
      <c r="F13" s="193">
        <f>'[1]Fredericia Ordningen 2015 - ans'!D41</f>
        <v>2489.5</v>
      </c>
      <c r="G13" s="17"/>
      <c r="H13" s="17">
        <f t="shared" ref="H13:H66" si="1">F13+G13</f>
        <v>2489.5</v>
      </c>
      <c r="I13" s="17">
        <v>3000</v>
      </c>
      <c r="J13" s="17">
        <f t="shared" ref="J13:J68" si="2">I13-H13</f>
        <v>510.5</v>
      </c>
      <c r="K13" s="194">
        <f>'[1]Fredericia Ordningen 2015 - ans'!B21</f>
        <v>50</v>
      </c>
      <c r="L13" s="194">
        <f>'[1]Fredericia Ordningen 2015 - ans'!B24</f>
        <v>650</v>
      </c>
      <c r="M13" s="194">
        <f>'[1]Fredericia Ordningen 2015 - ans'!C21</f>
        <v>0</v>
      </c>
      <c r="N13" s="194">
        <f>'[1]Fredericia Ordningen 2015 - ans'!C24</f>
        <v>0</v>
      </c>
      <c r="O13" s="194">
        <f>'[1]Fredericia Ordningen 2015 - ans'!C25</f>
        <v>650</v>
      </c>
      <c r="P13" s="18"/>
      <c r="Q13" s="18">
        <f t="shared" ref="Q13:Q66" si="3">O13+P13</f>
        <v>650</v>
      </c>
      <c r="R13" s="17">
        <f>(10*B6)</f>
        <v>5000</v>
      </c>
      <c r="S13" s="18">
        <f t="shared" ref="S13:S66" si="4">R13-Q13</f>
        <v>4350</v>
      </c>
      <c r="T13" s="194">
        <f>'[1]Fredericia Ordningen 2015 - ans'!B34</f>
        <v>60</v>
      </c>
      <c r="U13" s="194">
        <f>'[1]Fredericia Ordningen 2015 - ans'!B36</f>
        <v>1980</v>
      </c>
      <c r="V13" s="19"/>
      <c r="W13" s="19">
        <f t="shared" ref="W13:W66" si="5">U13+V13</f>
        <v>1980</v>
      </c>
      <c r="X13" s="19"/>
      <c r="Y13" s="19">
        <f>-W13*Y11</f>
        <v>-1980</v>
      </c>
      <c r="Z13" s="193"/>
      <c r="AA13" s="198"/>
      <c r="AB13" s="18">
        <f t="shared" ref="AB13:AB66" si="6">Z13+AA13</f>
        <v>0</v>
      </c>
      <c r="AC13" s="100">
        <f t="shared" ref="AC13:AC66" si="7">-AB13</f>
        <v>0</v>
      </c>
      <c r="AD13" s="109">
        <f t="shared" ref="AD13:AD64" si="8">J13+S13+Y13+AC13</f>
        <v>2880.5</v>
      </c>
      <c r="AE13" s="103"/>
      <c r="AF13" s="17"/>
      <c r="AG13" s="17"/>
      <c r="AH13" s="199">
        <f t="shared" ref="AH13:AH66" si="9">F13+O13</f>
        <v>3139.5</v>
      </c>
      <c r="AI13" s="199">
        <f t="shared" si="0"/>
        <v>5119.5</v>
      </c>
      <c r="AJ13" s="199">
        <v>0</v>
      </c>
      <c r="AK13" s="199">
        <f t="shared" ref="AK13:AK66" si="10">AI13-AJ13</f>
        <v>5119.5</v>
      </c>
      <c r="AL13" s="199" t="s">
        <v>39</v>
      </c>
      <c r="AM13" s="199"/>
      <c r="AN13" s="199"/>
      <c r="AO13" s="199">
        <f t="shared" ref="AO13:AO67" si="11">AM13+AN13</f>
        <v>0</v>
      </c>
      <c r="AP13" s="196"/>
      <c r="AQ13" s="196"/>
      <c r="AR13" s="196"/>
      <c r="AS13" s="196"/>
    </row>
    <row r="14" spans="1:47">
      <c r="A14" s="200" t="s">
        <v>40</v>
      </c>
      <c r="B14" s="26">
        <v>898</v>
      </c>
      <c r="C14" s="194">
        <v>354</v>
      </c>
      <c r="D14" s="26">
        <v>418</v>
      </c>
      <c r="E14" s="27">
        <v>46.547884187082403</v>
      </c>
      <c r="F14" s="200">
        <v>4980</v>
      </c>
      <c r="G14" s="17">
        <v>4980</v>
      </c>
      <c r="H14" s="17">
        <f t="shared" si="1"/>
        <v>9960</v>
      </c>
      <c r="I14" s="17">
        <f>3000*5</f>
        <v>15000</v>
      </c>
      <c r="J14" s="17">
        <f t="shared" si="2"/>
        <v>5040</v>
      </c>
      <c r="K14" s="128">
        <v>1777</v>
      </c>
      <c r="L14" s="128">
        <v>23101</v>
      </c>
      <c r="M14" s="128">
        <v>116</v>
      </c>
      <c r="N14" s="128">
        <v>359.6</v>
      </c>
      <c r="O14" s="128">
        <v>23460.6</v>
      </c>
      <c r="P14" s="18">
        <v>20880.2</v>
      </c>
      <c r="Q14" s="18">
        <f t="shared" si="3"/>
        <v>44340.800000000003</v>
      </c>
      <c r="R14" s="153">
        <f>(25*B6)+(25*C6)+(50*D6)+(100*Q6)+(200*R6)+(18*S6)</f>
        <v>52950</v>
      </c>
      <c r="S14" s="18">
        <f t="shared" si="4"/>
        <v>8609.1999999999971</v>
      </c>
      <c r="T14" s="128">
        <v>118</v>
      </c>
      <c r="U14" s="128">
        <v>3894</v>
      </c>
      <c r="V14" s="19">
        <v>5098.5</v>
      </c>
      <c r="W14" s="19">
        <f t="shared" si="5"/>
        <v>8992.5</v>
      </c>
      <c r="X14" s="28">
        <f>'[2]Hovedfor. ens (3)'!W6</f>
        <v>60</v>
      </c>
      <c r="Y14" s="19">
        <f>-W14*Y11</f>
        <v>-8992.5</v>
      </c>
      <c r="Z14" s="200"/>
      <c r="AA14" s="198">
        <v>0</v>
      </c>
      <c r="AB14" s="18">
        <f t="shared" si="6"/>
        <v>0</v>
      </c>
      <c r="AC14" s="100">
        <f t="shared" si="7"/>
        <v>0</v>
      </c>
      <c r="AD14" s="108">
        <f>J14+S14+Y14+AC14+AG14</f>
        <v>5395.7690708875025</v>
      </c>
      <c r="AE14" s="103">
        <f>E14</f>
        <v>46.547884187082403</v>
      </c>
      <c r="AF14" s="22">
        <f>X14*AE14/100</f>
        <v>27.928730512249441</v>
      </c>
      <c r="AG14" s="22">
        <f>AF14*AG11/AF67</f>
        <v>739.06907088750552</v>
      </c>
      <c r="AH14" s="199">
        <f t="shared" si="9"/>
        <v>28440.6</v>
      </c>
      <c r="AI14" s="199">
        <f t="shared" si="0"/>
        <v>32334.6</v>
      </c>
      <c r="AJ14" s="199">
        <v>35143.800000000003</v>
      </c>
      <c r="AK14" s="199">
        <f t="shared" si="10"/>
        <v>-2809.2000000000044</v>
      </c>
      <c r="AL14" s="199" t="s">
        <v>41</v>
      </c>
      <c r="AM14" s="142">
        <v>78036.78</v>
      </c>
      <c r="AN14" s="199"/>
      <c r="AO14" s="199">
        <f t="shared" si="11"/>
        <v>78036.78</v>
      </c>
      <c r="AP14" s="196"/>
      <c r="AQ14" s="196"/>
      <c r="AR14" s="196"/>
      <c r="AS14" s="196"/>
    </row>
    <row r="15" spans="1:47">
      <c r="A15" s="194" t="s">
        <v>42</v>
      </c>
      <c r="B15" s="17">
        <v>120</v>
      </c>
      <c r="C15" s="193">
        <v>114</v>
      </c>
      <c r="D15" s="17">
        <v>12</v>
      </c>
      <c r="E15" s="18">
        <v>10</v>
      </c>
      <c r="F15" s="199">
        <v>2489.5</v>
      </c>
      <c r="G15" s="11">
        <v>2490</v>
      </c>
      <c r="H15" s="17">
        <f t="shared" si="1"/>
        <v>4979.5</v>
      </c>
      <c r="I15" s="17">
        <v>3000</v>
      </c>
      <c r="J15" s="17">
        <f t="shared" si="2"/>
        <v>-1979.5</v>
      </c>
      <c r="K15" s="199">
        <v>33</v>
      </c>
      <c r="L15" s="199">
        <v>429</v>
      </c>
      <c r="M15" s="199">
        <v>40</v>
      </c>
      <c r="N15" s="199">
        <v>124</v>
      </c>
      <c r="O15" s="199">
        <v>553</v>
      </c>
      <c r="P15" s="18">
        <v>583.29999999999995</v>
      </c>
      <c r="Q15" s="18">
        <f t="shared" si="3"/>
        <v>1136.3</v>
      </c>
      <c r="R15" s="17">
        <f>(12*B6)</f>
        <v>6000</v>
      </c>
      <c r="S15" s="18">
        <f t="shared" si="4"/>
        <v>4863.7</v>
      </c>
      <c r="T15" s="199">
        <v>0</v>
      </c>
      <c r="U15" s="199">
        <v>0</v>
      </c>
      <c r="V15" s="194">
        <v>0</v>
      </c>
      <c r="W15" s="19">
        <f t="shared" si="5"/>
        <v>0</v>
      </c>
      <c r="X15" s="19"/>
      <c r="Y15" s="19">
        <f t="shared" ref="Y15:Y20" si="12">-W15</f>
        <v>0</v>
      </c>
      <c r="Z15" s="199"/>
      <c r="AA15" s="198"/>
      <c r="AB15" s="18">
        <f t="shared" si="6"/>
        <v>0</v>
      </c>
      <c r="AC15" s="100">
        <f t="shared" si="7"/>
        <v>0</v>
      </c>
      <c r="AD15" s="109">
        <f t="shared" si="8"/>
        <v>2884.2</v>
      </c>
      <c r="AE15" s="103"/>
      <c r="AF15" s="17"/>
      <c r="AG15" s="17"/>
      <c r="AH15" s="199">
        <f t="shared" si="9"/>
        <v>3042.5</v>
      </c>
      <c r="AI15" s="199">
        <f t="shared" si="0"/>
        <v>3042.5</v>
      </c>
      <c r="AJ15" s="199">
        <v>3149.5</v>
      </c>
      <c r="AK15" s="199">
        <f t="shared" si="10"/>
        <v>-107</v>
      </c>
      <c r="AL15" s="199" t="s">
        <v>43</v>
      </c>
      <c r="AM15" s="199"/>
      <c r="AN15" s="199"/>
      <c r="AO15" s="199">
        <f t="shared" si="11"/>
        <v>0</v>
      </c>
      <c r="AP15" s="196"/>
      <c r="AQ15" s="196"/>
      <c r="AR15" s="196"/>
      <c r="AS15" s="196"/>
    </row>
    <row r="16" spans="1:47">
      <c r="A16" s="194" t="s">
        <v>44</v>
      </c>
      <c r="B16" s="17">
        <v>86</v>
      </c>
      <c r="C16" s="194">
        <v>99</v>
      </c>
      <c r="D16" s="17">
        <v>74</v>
      </c>
      <c r="E16" s="18">
        <v>86.04651162790698</v>
      </c>
      <c r="F16" s="199">
        <v>2489.5</v>
      </c>
      <c r="G16" s="17">
        <v>2490</v>
      </c>
      <c r="H16" s="17">
        <f t="shared" si="1"/>
        <v>4979.5</v>
      </c>
      <c r="I16" s="17">
        <v>3000</v>
      </c>
      <c r="J16" s="17">
        <f t="shared" si="2"/>
        <v>-1979.5</v>
      </c>
      <c r="K16" s="199">
        <v>366</v>
      </c>
      <c r="L16" s="199">
        <v>4758</v>
      </c>
      <c r="M16" s="199">
        <v>48</v>
      </c>
      <c r="N16" s="199">
        <v>148.80000000000001</v>
      </c>
      <c r="O16" s="199">
        <v>4906.8</v>
      </c>
      <c r="P16" s="18">
        <v>4686</v>
      </c>
      <c r="Q16" s="18">
        <f t="shared" si="3"/>
        <v>9592.7999999999993</v>
      </c>
      <c r="R16" s="17">
        <f>(25*B6)+(25*C6)+(24*D6)</f>
        <v>27300</v>
      </c>
      <c r="S16" s="18">
        <f t="shared" si="4"/>
        <v>17707.2</v>
      </c>
      <c r="T16" s="199">
        <v>0</v>
      </c>
      <c r="U16" s="199">
        <v>0</v>
      </c>
      <c r="V16" s="19">
        <v>0</v>
      </c>
      <c r="W16" s="19">
        <f t="shared" si="5"/>
        <v>0</v>
      </c>
      <c r="X16" s="19"/>
      <c r="Y16" s="19">
        <f t="shared" si="12"/>
        <v>0</v>
      </c>
      <c r="Z16" s="199"/>
      <c r="AA16" s="198"/>
      <c r="AB16" s="18">
        <f t="shared" si="6"/>
        <v>0</v>
      </c>
      <c r="AC16" s="100">
        <f t="shared" si="7"/>
        <v>0</v>
      </c>
      <c r="AD16" s="109">
        <f t="shared" si="8"/>
        <v>15727.7</v>
      </c>
      <c r="AE16" s="103"/>
      <c r="AF16" s="17"/>
      <c r="AG16" s="17"/>
      <c r="AH16" s="199">
        <f t="shared" si="9"/>
        <v>7396.3</v>
      </c>
      <c r="AI16" s="199">
        <f t="shared" si="0"/>
        <v>7396.3</v>
      </c>
      <c r="AJ16" s="199">
        <v>7435.3</v>
      </c>
      <c r="AK16" s="199">
        <f t="shared" si="10"/>
        <v>-39</v>
      </c>
      <c r="AL16" s="199"/>
      <c r="AM16" s="199"/>
      <c r="AN16" s="199"/>
      <c r="AO16" s="199">
        <f t="shared" si="11"/>
        <v>0</v>
      </c>
      <c r="AP16" s="196"/>
      <c r="AQ16" s="196"/>
      <c r="AR16" s="196"/>
      <c r="AS16" s="196"/>
    </row>
    <row r="17" spans="1:45">
      <c r="A17" s="194" t="s">
        <v>45</v>
      </c>
      <c r="B17" s="17">
        <v>832</v>
      </c>
      <c r="C17" s="202">
        <v>885</v>
      </c>
      <c r="D17" s="17">
        <v>729</v>
      </c>
      <c r="E17" s="18">
        <v>87.620192307692307</v>
      </c>
      <c r="F17" s="199">
        <v>4980</v>
      </c>
      <c r="G17" s="31">
        <v>4980</v>
      </c>
      <c r="H17" s="17">
        <f t="shared" si="1"/>
        <v>9960</v>
      </c>
      <c r="I17" s="17">
        <v>3000</v>
      </c>
      <c r="J17" s="17">
        <f t="shared" si="2"/>
        <v>-6960</v>
      </c>
      <c r="K17" s="199">
        <v>2993</v>
      </c>
      <c r="L17" s="199">
        <v>38909</v>
      </c>
      <c r="M17" s="199">
        <v>8</v>
      </c>
      <c r="N17" s="199">
        <v>24.8</v>
      </c>
      <c r="O17" s="199">
        <v>38933.800000000003</v>
      </c>
      <c r="P17" s="129">
        <v>51792.7</v>
      </c>
      <c r="Q17" s="18">
        <f t="shared" si="3"/>
        <v>90726.5</v>
      </c>
      <c r="R17" s="17">
        <f>(25*B6)+(25*C6)+(50*D6)+(100*Q6)+(200*R6)+(329*S6)</f>
        <v>60725</v>
      </c>
      <c r="S17" s="18">
        <f t="shared" si="4"/>
        <v>-30001.5</v>
      </c>
      <c r="T17" s="199">
        <v>0</v>
      </c>
      <c r="U17" s="199">
        <v>0</v>
      </c>
      <c r="V17" s="131">
        <v>0</v>
      </c>
      <c r="W17" s="19">
        <f t="shared" si="5"/>
        <v>0</v>
      </c>
      <c r="X17" s="19"/>
      <c r="Y17" s="19">
        <f t="shared" si="12"/>
        <v>0</v>
      </c>
      <c r="Z17" s="199">
        <f>[2]Svømmetimetilskud!J8</f>
        <v>44071.367458789144</v>
      </c>
      <c r="AA17" s="203">
        <v>41313.44641620836</v>
      </c>
      <c r="AB17" s="18">
        <f t="shared" si="6"/>
        <v>85384.813874997504</v>
      </c>
      <c r="AC17" s="100">
        <f>-AB17/2</f>
        <v>-42692.406937498752</v>
      </c>
      <c r="AD17" s="109">
        <f t="shared" si="8"/>
        <v>-79653.906937498745</v>
      </c>
      <c r="AE17" s="103"/>
      <c r="AF17" s="17"/>
      <c r="AG17" s="17"/>
      <c r="AH17" s="199">
        <f t="shared" si="9"/>
        <v>43913.8</v>
      </c>
      <c r="AI17" s="199">
        <f t="shared" si="0"/>
        <v>43913.8</v>
      </c>
      <c r="AJ17" s="199">
        <v>45578</v>
      </c>
      <c r="AK17" s="199">
        <f t="shared" si="10"/>
        <v>-1664.1999999999971</v>
      </c>
      <c r="AL17" s="196" t="s">
        <v>43</v>
      </c>
      <c r="AM17" s="143">
        <v>11165</v>
      </c>
      <c r="AN17" s="143">
        <v>3288.6</v>
      </c>
      <c r="AO17" s="199">
        <f t="shared" si="11"/>
        <v>14453.6</v>
      </c>
      <c r="AP17" s="196"/>
      <c r="AQ17" s="196"/>
      <c r="AR17" s="196"/>
      <c r="AS17" s="196"/>
    </row>
    <row r="18" spans="1:45">
      <c r="A18" s="193" t="s">
        <v>46</v>
      </c>
      <c r="B18" s="11">
        <v>258</v>
      </c>
      <c r="C18" s="194">
        <v>244</v>
      </c>
      <c r="D18" s="11">
        <v>105</v>
      </c>
      <c r="E18" s="23">
        <v>40.697674418604649</v>
      </c>
      <c r="F18" s="193">
        <v>2489.5</v>
      </c>
      <c r="G18" s="17">
        <v>2490</v>
      </c>
      <c r="H18" s="17">
        <f t="shared" si="1"/>
        <v>4979.5</v>
      </c>
      <c r="I18" s="17">
        <v>3000</v>
      </c>
      <c r="J18" s="17">
        <f t="shared" si="2"/>
        <v>-1979.5</v>
      </c>
      <c r="K18" s="194">
        <v>582</v>
      </c>
      <c r="L18" s="194">
        <v>7566</v>
      </c>
      <c r="M18" s="194">
        <v>48</v>
      </c>
      <c r="N18" s="194">
        <v>148.80000000000001</v>
      </c>
      <c r="O18" s="194">
        <v>7714.8</v>
      </c>
      <c r="P18" s="18">
        <v>7930.2</v>
      </c>
      <c r="Q18" s="18">
        <f t="shared" si="3"/>
        <v>15645</v>
      </c>
      <c r="R18" s="17">
        <f>(25*B6)+(25*C6)+(50*D6)+(5*Q6)</f>
        <v>33000</v>
      </c>
      <c r="S18" s="18">
        <f t="shared" si="4"/>
        <v>17355</v>
      </c>
      <c r="T18" s="194">
        <v>0</v>
      </c>
      <c r="U18" s="194">
        <v>0</v>
      </c>
      <c r="V18" s="19">
        <v>0</v>
      </c>
      <c r="W18" s="19">
        <f t="shared" si="5"/>
        <v>0</v>
      </c>
      <c r="X18" s="19"/>
      <c r="Y18" s="19">
        <f t="shared" si="12"/>
        <v>0</v>
      </c>
      <c r="Z18" s="33">
        <f>[2]Svømmetimetilskud!J4</f>
        <v>3142.1884340545612</v>
      </c>
      <c r="AA18" s="203">
        <v>2853.3560928786133</v>
      </c>
      <c r="AB18" s="18">
        <f t="shared" si="6"/>
        <v>5995.544526933174</v>
      </c>
      <c r="AC18" s="100">
        <f>-AB18/2</f>
        <v>-2997.772263466587</v>
      </c>
      <c r="AD18" s="108">
        <f t="shared" si="8"/>
        <v>12377.727736533412</v>
      </c>
      <c r="AE18" s="103"/>
      <c r="AF18" s="17"/>
      <c r="AG18" s="17"/>
      <c r="AH18" s="199">
        <f t="shared" si="9"/>
        <v>10204.299999999999</v>
      </c>
      <c r="AI18" s="199">
        <f t="shared" si="0"/>
        <v>10204.299999999999</v>
      </c>
      <c r="AJ18" s="199">
        <v>10909.9</v>
      </c>
      <c r="AK18" s="199">
        <f t="shared" si="10"/>
        <v>-705.60000000000036</v>
      </c>
      <c r="AL18" s="199" t="s">
        <v>43</v>
      </c>
      <c r="AM18" s="144">
        <v>1900</v>
      </c>
      <c r="AN18" s="199"/>
      <c r="AO18" s="199">
        <f t="shared" si="11"/>
        <v>1900</v>
      </c>
      <c r="AP18" s="196"/>
      <c r="AQ18" s="196"/>
      <c r="AR18" s="196"/>
      <c r="AS18" s="196"/>
    </row>
    <row r="19" spans="1:45">
      <c r="A19" s="194" t="s">
        <v>47</v>
      </c>
      <c r="B19" s="17">
        <v>98</v>
      </c>
      <c r="C19" s="193">
        <v>100</v>
      </c>
      <c r="D19" s="17">
        <v>30</v>
      </c>
      <c r="E19" s="18">
        <v>30.612244897959183</v>
      </c>
      <c r="F19" s="199">
        <v>2489.5</v>
      </c>
      <c r="G19" s="11">
        <v>2490</v>
      </c>
      <c r="H19" s="17">
        <f t="shared" si="1"/>
        <v>4979.5</v>
      </c>
      <c r="I19" s="17">
        <v>3000</v>
      </c>
      <c r="J19" s="17">
        <f t="shared" si="2"/>
        <v>-1979.5</v>
      </c>
      <c r="K19" s="199">
        <v>174</v>
      </c>
      <c r="L19" s="199">
        <v>2262</v>
      </c>
      <c r="M19" s="199">
        <v>6</v>
      </c>
      <c r="N19" s="199">
        <v>18.600000000000001</v>
      </c>
      <c r="O19" s="199">
        <v>2280.6</v>
      </c>
      <c r="P19" s="18">
        <v>2387.1</v>
      </c>
      <c r="Q19" s="18">
        <f t="shared" si="3"/>
        <v>4667.7</v>
      </c>
      <c r="R19" s="17">
        <f>(25*B6)+(5*C6)</f>
        <v>14500</v>
      </c>
      <c r="S19" s="18">
        <f t="shared" si="4"/>
        <v>9832.2999999999993</v>
      </c>
      <c r="T19" s="199">
        <v>0</v>
      </c>
      <c r="U19" s="199">
        <v>0</v>
      </c>
      <c r="V19" s="194">
        <v>0</v>
      </c>
      <c r="W19" s="19">
        <f t="shared" si="5"/>
        <v>0</v>
      </c>
      <c r="X19" s="19"/>
      <c r="Y19" s="19">
        <f t="shared" si="12"/>
        <v>0</v>
      </c>
      <c r="Z19" s="199">
        <f>[2]Svømmetimetilskud!J7</f>
        <v>222.27385579555556</v>
      </c>
      <c r="AA19" s="203">
        <v>382.14590529624286</v>
      </c>
      <c r="AB19" s="18">
        <f t="shared" si="6"/>
        <v>604.41976109179836</v>
      </c>
      <c r="AC19" s="100">
        <f>-AB19/2</f>
        <v>-302.20988054589918</v>
      </c>
      <c r="AD19" s="109">
        <f t="shared" si="8"/>
        <v>7550.5901194541002</v>
      </c>
      <c r="AE19" s="103"/>
      <c r="AF19" s="17"/>
      <c r="AG19" s="17"/>
      <c r="AH19" s="199">
        <f t="shared" si="9"/>
        <v>4770.1000000000004</v>
      </c>
      <c r="AI19" s="199">
        <f t="shared" si="0"/>
        <v>4770.1000000000004</v>
      </c>
      <c r="AJ19" s="199">
        <v>5008.5</v>
      </c>
      <c r="AK19" s="199">
        <f t="shared" si="10"/>
        <v>-238.39999999999964</v>
      </c>
      <c r="AL19" s="199" t="s">
        <v>43</v>
      </c>
      <c r="AM19" s="199"/>
      <c r="AN19" s="199"/>
      <c r="AO19" s="199">
        <f t="shared" si="11"/>
        <v>0</v>
      </c>
      <c r="AP19" s="196"/>
      <c r="AQ19" s="196"/>
      <c r="AR19" s="196"/>
      <c r="AS19" s="196"/>
    </row>
    <row r="20" spans="1:45">
      <c r="A20" s="194" t="s">
        <v>48</v>
      </c>
      <c r="B20" s="17">
        <v>183</v>
      </c>
      <c r="C20" s="194">
        <v>187</v>
      </c>
      <c r="D20" s="17">
        <v>148</v>
      </c>
      <c r="E20" s="18">
        <v>80.874316939890718</v>
      </c>
      <c r="F20" s="199">
        <v>2489.5</v>
      </c>
      <c r="G20" s="17">
        <v>2490</v>
      </c>
      <c r="H20" s="17">
        <f t="shared" si="1"/>
        <v>4979.5</v>
      </c>
      <c r="I20" s="17">
        <v>3000</v>
      </c>
      <c r="J20" s="17">
        <f t="shared" si="2"/>
        <v>-1979.5</v>
      </c>
      <c r="K20" s="199">
        <v>847</v>
      </c>
      <c r="L20" s="199">
        <v>11011</v>
      </c>
      <c r="M20" s="199">
        <v>40</v>
      </c>
      <c r="N20" s="199">
        <v>124</v>
      </c>
      <c r="O20" s="199">
        <v>11135</v>
      </c>
      <c r="P20" s="18">
        <v>11203.1</v>
      </c>
      <c r="Q20" s="18">
        <f t="shared" si="3"/>
        <v>22338.1</v>
      </c>
      <c r="R20" s="17">
        <f>(25*B6)+(25*C6)+(50*D6)+(48*Q6)</f>
        <v>37300</v>
      </c>
      <c r="S20" s="18">
        <f t="shared" si="4"/>
        <v>14961.900000000001</v>
      </c>
      <c r="T20" s="199">
        <v>0</v>
      </c>
      <c r="U20" s="199">
        <v>0</v>
      </c>
      <c r="V20" s="19">
        <v>0</v>
      </c>
      <c r="W20" s="19">
        <f t="shared" si="5"/>
        <v>0</v>
      </c>
      <c r="X20" s="19"/>
      <c r="Y20" s="19">
        <f t="shared" si="12"/>
        <v>0</v>
      </c>
      <c r="Z20" s="199"/>
      <c r="AA20" s="198"/>
      <c r="AB20" s="18">
        <f t="shared" si="6"/>
        <v>0</v>
      </c>
      <c r="AC20" s="100">
        <f t="shared" si="7"/>
        <v>0</v>
      </c>
      <c r="AD20" s="109">
        <f t="shared" si="8"/>
        <v>12982.400000000001</v>
      </c>
      <c r="AE20" s="103"/>
      <c r="AF20" s="17"/>
      <c r="AG20" s="17"/>
      <c r="AH20" s="199">
        <f t="shared" si="9"/>
        <v>13624.5</v>
      </c>
      <c r="AI20" s="199">
        <f t="shared" si="0"/>
        <v>13624.5</v>
      </c>
      <c r="AJ20" s="199">
        <v>13709.3</v>
      </c>
      <c r="AK20" s="199">
        <f t="shared" si="10"/>
        <v>-84.799999999999272</v>
      </c>
      <c r="AL20" s="199" t="s">
        <v>43</v>
      </c>
      <c r="AM20" s="199"/>
      <c r="AN20" s="199"/>
      <c r="AO20" s="199">
        <f t="shared" si="11"/>
        <v>0</v>
      </c>
      <c r="AP20" s="196"/>
      <c r="AQ20" s="196"/>
      <c r="AR20" s="196"/>
      <c r="AS20" s="196"/>
    </row>
    <row r="21" spans="1:45">
      <c r="A21" s="194" t="s">
        <v>49</v>
      </c>
      <c r="B21" s="17">
        <v>123</v>
      </c>
      <c r="C21" s="194">
        <v>159</v>
      </c>
      <c r="D21" s="17">
        <v>41</v>
      </c>
      <c r="E21" s="18">
        <v>33.333333333333329</v>
      </c>
      <c r="F21" s="199">
        <v>2489.5</v>
      </c>
      <c r="G21" s="17">
        <v>2490</v>
      </c>
      <c r="H21" s="17">
        <f t="shared" si="1"/>
        <v>4979.5</v>
      </c>
      <c r="I21" s="17">
        <v>3000</v>
      </c>
      <c r="J21" s="17">
        <f t="shared" si="2"/>
        <v>-1979.5</v>
      </c>
      <c r="K21" s="199">
        <v>139</v>
      </c>
      <c r="L21" s="199">
        <v>1807</v>
      </c>
      <c r="M21" s="199">
        <v>0</v>
      </c>
      <c r="N21" s="199">
        <v>0</v>
      </c>
      <c r="O21" s="199">
        <v>1807</v>
      </c>
      <c r="P21" s="18">
        <v>2579.6</v>
      </c>
      <c r="Q21" s="18">
        <f t="shared" si="3"/>
        <v>4386.6000000000004</v>
      </c>
      <c r="R21" s="17">
        <f>(25*B6)+(16*C6)</f>
        <v>18900</v>
      </c>
      <c r="S21" s="18">
        <f t="shared" si="4"/>
        <v>14513.4</v>
      </c>
      <c r="T21" s="199">
        <v>159</v>
      </c>
      <c r="U21" s="199">
        <v>5247</v>
      </c>
      <c r="V21" s="19">
        <v>5494.5</v>
      </c>
      <c r="W21" s="19">
        <f t="shared" si="5"/>
        <v>10741.5</v>
      </c>
      <c r="X21" s="28">
        <f>W21/33</f>
        <v>325.5</v>
      </c>
      <c r="Y21" s="19">
        <f>-W21*Y11</f>
        <v>-10741.5</v>
      </c>
      <c r="Z21" s="199"/>
      <c r="AA21" s="198"/>
      <c r="AB21" s="18">
        <f t="shared" si="6"/>
        <v>0</v>
      </c>
      <c r="AC21" s="100">
        <f t="shared" si="7"/>
        <v>0</v>
      </c>
      <c r="AD21" s="108">
        <f>J21+S21+Y21+AC21+AG21</f>
        <v>4663.6008286994547</v>
      </c>
      <c r="AE21" s="103">
        <f>E21</f>
        <v>33.333333333333329</v>
      </c>
      <c r="AF21" s="22">
        <f>X21*AE21/100</f>
        <v>108.49999999999999</v>
      </c>
      <c r="AG21" s="22">
        <f>AF21*AG11/AF67</f>
        <v>2871.2008286994546</v>
      </c>
      <c r="AH21" s="199">
        <f t="shared" si="9"/>
        <v>4296.5</v>
      </c>
      <c r="AI21" s="199">
        <f t="shared" si="0"/>
        <v>9543.5</v>
      </c>
      <c r="AJ21" s="199">
        <v>10588.3</v>
      </c>
      <c r="AK21" s="199">
        <f t="shared" si="10"/>
        <v>-1044.7999999999993</v>
      </c>
      <c r="AL21" s="199" t="s">
        <v>50</v>
      </c>
      <c r="AM21" s="199"/>
      <c r="AN21" s="199"/>
      <c r="AO21" s="199">
        <f t="shared" si="11"/>
        <v>0</v>
      </c>
      <c r="AP21" s="196"/>
      <c r="AQ21" s="196"/>
      <c r="AR21" s="196"/>
      <c r="AS21" s="196"/>
    </row>
    <row r="22" spans="1:45">
      <c r="A22" s="193" t="s">
        <v>51</v>
      </c>
      <c r="B22" s="11">
        <v>59</v>
      </c>
      <c r="C22" s="194">
        <v>61</v>
      </c>
      <c r="D22" s="11">
        <v>26</v>
      </c>
      <c r="E22" s="23">
        <v>44.067796610169488</v>
      </c>
      <c r="F22" s="195">
        <v>2489.5</v>
      </c>
      <c r="G22" s="17">
        <v>2490</v>
      </c>
      <c r="H22" s="17">
        <f t="shared" si="1"/>
        <v>4979.5</v>
      </c>
      <c r="I22" s="17">
        <v>3000</v>
      </c>
      <c r="J22" s="17">
        <f t="shared" si="2"/>
        <v>-1979.5</v>
      </c>
      <c r="K22" s="199">
        <v>78</v>
      </c>
      <c r="L22" s="199">
        <v>1014</v>
      </c>
      <c r="M22" s="199">
        <v>0</v>
      </c>
      <c r="N22" s="199">
        <v>0</v>
      </c>
      <c r="O22" s="199">
        <v>1014</v>
      </c>
      <c r="P22" s="18">
        <v>1092</v>
      </c>
      <c r="Q22" s="18">
        <f t="shared" si="3"/>
        <v>2106</v>
      </c>
      <c r="R22" s="17">
        <f>(25*B6)+(1*C6)</f>
        <v>12900</v>
      </c>
      <c r="S22" s="18">
        <f t="shared" si="4"/>
        <v>10794</v>
      </c>
      <c r="T22" s="199">
        <v>0</v>
      </c>
      <c r="U22" s="199">
        <v>0</v>
      </c>
      <c r="V22" s="19">
        <v>0</v>
      </c>
      <c r="W22" s="19">
        <f t="shared" si="5"/>
        <v>0</v>
      </c>
      <c r="X22" s="19"/>
      <c r="Y22" s="19">
        <f>-W22</f>
        <v>0</v>
      </c>
      <c r="Z22" s="195"/>
      <c r="AA22" s="198">
        <v>0</v>
      </c>
      <c r="AB22" s="18">
        <f t="shared" si="6"/>
        <v>0</v>
      </c>
      <c r="AC22" s="100">
        <f t="shared" si="7"/>
        <v>0</v>
      </c>
      <c r="AD22" s="109">
        <f t="shared" si="8"/>
        <v>8814.5</v>
      </c>
      <c r="AE22" s="103"/>
      <c r="AF22" s="17"/>
      <c r="AG22" s="17"/>
      <c r="AH22" s="199">
        <f t="shared" si="9"/>
        <v>3503.5</v>
      </c>
      <c r="AI22" s="199">
        <f t="shared" si="0"/>
        <v>3503.5</v>
      </c>
      <c r="AJ22" s="199">
        <v>3660</v>
      </c>
      <c r="AK22" s="199">
        <f t="shared" si="10"/>
        <v>-156.5</v>
      </c>
      <c r="AL22" s="199"/>
      <c r="AM22" s="199"/>
      <c r="AN22" s="199"/>
      <c r="AO22" s="199">
        <f t="shared" si="11"/>
        <v>0</v>
      </c>
      <c r="AP22" s="196"/>
      <c r="AQ22" s="196"/>
      <c r="AR22" s="196"/>
      <c r="AS22" s="196"/>
    </row>
    <row r="23" spans="1:45">
      <c r="A23" s="194" t="s">
        <v>52</v>
      </c>
      <c r="B23" s="17">
        <v>2645</v>
      </c>
      <c r="C23" s="193">
        <v>1559</v>
      </c>
      <c r="D23" s="17">
        <v>1888</v>
      </c>
      <c r="E23" s="18">
        <v>71.379962192816635</v>
      </c>
      <c r="F23" s="199">
        <v>4980</v>
      </c>
      <c r="G23" s="11">
        <v>4980</v>
      </c>
      <c r="H23" s="17">
        <f t="shared" si="1"/>
        <v>9960</v>
      </c>
      <c r="I23" s="17">
        <f>3000*7</f>
        <v>21000</v>
      </c>
      <c r="J23" s="17">
        <f t="shared" si="2"/>
        <v>11040</v>
      </c>
      <c r="K23" s="199">
        <v>9316</v>
      </c>
      <c r="L23" s="199">
        <v>121108</v>
      </c>
      <c r="M23" s="199">
        <v>211</v>
      </c>
      <c r="N23" s="199">
        <v>654.1</v>
      </c>
      <c r="O23" s="199">
        <v>121762.1</v>
      </c>
      <c r="P23" s="18">
        <v>113502.39999999999</v>
      </c>
      <c r="Q23" s="18">
        <f t="shared" si="3"/>
        <v>235264.5</v>
      </c>
      <c r="R23" s="153">
        <f>(25*B6)+(25*C6)+(50*D6)+(100*Q6)+(200*R6)+(1488*S6)</f>
        <v>89700</v>
      </c>
      <c r="S23" s="18">
        <f t="shared" si="4"/>
        <v>-145564.5</v>
      </c>
      <c r="T23" s="199">
        <v>820.25</v>
      </c>
      <c r="U23" s="199">
        <v>27068.25</v>
      </c>
      <c r="V23" s="199">
        <v>31647</v>
      </c>
      <c r="W23" s="19">
        <f t="shared" si="5"/>
        <v>58715.25</v>
      </c>
      <c r="X23" s="28">
        <f>'[2]Hovedfor. ens (3)'!W14+'[2]Hovedfor. ens (3)'!W15</f>
        <v>892.24242424242425</v>
      </c>
      <c r="Y23" s="19">
        <f>-W23*Y11</f>
        <v>-58715.25</v>
      </c>
      <c r="Z23" s="199">
        <f>[2]Svømmetimetilskud!J5</f>
        <v>44503.305890378826</v>
      </c>
      <c r="AA23" s="203">
        <v>47575.693152736261</v>
      </c>
      <c r="AB23" s="18">
        <f t="shared" si="6"/>
        <v>92078.999043115095</v>
      </c>
      <c r="AC23" s="100">
        <f>-AB23/2</f>
        <v>-46039.499521557547</v>
      </c>
      <c r="AD23" s="109">
        <f>J23+S23+Y23+AC23+AG23</f>
        <v>-222425.6365983719</v>
      </c>
      <c r="AE23" s="103">
        <f t="shared" ref="AE23:AE28" si="13">E23</f>
        <v>71.379962192816635</v>
      </c>
      <c r="AF23" s="17">
        <f>X23*AE23/100</f>
        <v>636.88230509251309</v>
      </c>
      <c r="AG23" s="17">
        <f>AF23*AG11/AF67</f>
        <v>16853.612923185647</v>
      </c>
      <c r="AH23" s="199">
        <f t="shared" si="9"/>
        <v>126742.1</v>
      </c>
      <c r="AI23" s="199">
        <f t="shared" si="0"/>
        <v>153810.35</v>
      </c>
      <c r="AJ23" s="199">
        <v>153035.6</v>
      </c>
      <c r="AK23" s="199">
        <f t="shared" si="10"/>
        <v>774.75</v>
      </c>
      <c r="AL23" s="199" t="s">
        <v>43</v>
      </c>
      <c r="AM23" s="144">
        <v>129004</v>
      </c>
      <c r="AN23" s="199"/>
      <c r="AO23" s="199">
        <f t="shared" si="11"/>
        <v>129004</v>
      </c>
      <c r="AP23" s="196"/>
      <c r="AQ23" s="196"/>
      <c r="AR23" s="196"/>
      <c r="AS23" s="196"/>
    </row>
    <row r="24" spans="1:45">
      <c r="A24" s="194" t="s">
        <v>53</v>
      </c>
      <c r="B24" s="17">
        <v>166</v>
      </c>
      <c r="C24" s="193">
        <v>177</v>
      </c>
      <c r="D24" s="17">
        <v>72</v>
      </c>
      <c r="E24" s="18">
        <v>43.373493975903614</v>
      </c>
      <c r="F24" s="199">
        <v>2489.5</v>
      </c>
      <c r="G24" s="11">
        <v>2490</v>
      </c>
      <c r="H24" s="17">
        <f t="shared" si="1"/>
        <v>4979.5</v>
      </c>
      <c r="I24" s="17">
        <v>3000</v>
      </c>
      <c r="J24" s="17">
        <f t="shared" si="2"/>
        <v>-1979.5</v>
      </c>
      <c r="K24" s="199">
        <v>362</v>
      </c>
      <c r="L24" s="199">
        <v>4706</v>
      </c>
      <c r="M24" s="199">
        <v>28</v>
      </c>
      <c r="N24" s="199">
        <v>86.8</v>
      </c>
      <c r="O24" s="199">
        <v>4792.8</v>
      </c>
      <c r="P24" s="18">
        <v>6009.8</v>
      </c>
      <c r="Q24" s="18">
        <f t="shared" si="3"/>
        <v>10802.6</v>
      </c>
      <c r="R24" s="17">
        <f>(25*B6)+(25*C6)+(22*D6)</f>
        <v>26900</v>
      </c>
      <c r="S24" s="18">
        <f t="shared" si="4"/>
        <v>16097.4</v>
      </c>
      <c r="T24" s="199">
        <v>368</v>
      </c>
      <c r="U24" s="199">
        <v>12144</v>
      </c>
      <c r="V24" s="194">
        <v>11500.5</v>
      </c>
      <c r="W24" s="19">
        <f t="shared" si="5"/>
        <v>23644.5</v>
      </c>
      <c r="X24" s="28">
        <f>W24/33</f>
        <v>716.5</v>
      </c>
      <c r="Y24" s="19">
        <f>-W24*Y11</f>
        <v>-23644.5</v>
      </c>
      <c r="Z24" s="199"/>
      <c r="AA24" s="198"/>
      <c r="AB24" s="18">
        <f t="shared" si="6"/>
        <v>0</v>
      </c>
      <c r="AC24" s="100">
        <f t="shared" si="7"/>
        <v>0</v>
      </c>
      <c r="AD24" s="109">
        <f>J24+S24+Y24+AC24+AG24</f>
        <v>-1302.7641024403147</v>
      </c>
      <c r="AE24" s="103">
        <f t="shared" si="13"/>
        <v>43.373493975903614</v>
      </c>
      <c r="AF24" s="17">
        <f>X24*AE24/100</f>
        <v>310.77108433734941</v>
      </c>
      <c r="AG24" s="17">
        <f>AF24*AG11/AF67</f>
        <v>8223.8358975596857</v>
      </c>
      <c r="AH24" s="199">
        <f t="shared" si="9"/>
        <v>7282.3</v>
      </c>
      <c r="AI24" s="199">
        <f t="shared" si="0"/>
        <v>19426.3</v>
      </c>
      <c r="AJ24" s="199">
        <v>19042.900000000001</v>
      </c>
      <c r="AK24" s="199">
        <f t="shared" si="10"/>
        <v>383.39999999999782</v>
      </c>
      <c r="AL24" s="199" t="s">
        <v>43</v>
      </c>
      <c r="AM24" s="199"/>
      <c r="AN24" s="145">
        <f>SUM(AN18:AN23)</f>
        <v>0</v>
      </c>
      <c r="AO24" s="199">
        <f t="shared" si="11"/>
        <v>0</v>
      </c>
      <c r="AP24" s="196"/>
      <c r="AQ24" s="196"/>
      <c r="AR24" s="196"/>
      <c r="AS24" s="196"/>
    </row>
    <row r="25" spans="1:45">
      <c r="A25" s="193" t="s">
        <v>54</v>
      </c>
      <c r="B25" s="11">
        <v>86</v>
      </c>
      <c r="C25" s="194">
        <v>88</v>
      </c>
      <c r="D25" s="11">
        <v>52</v>
      </c>
      <c r="E25" s="23">
        <v>60.465116279069761</v>
      </c>
      <c r="F25" s="193">
        <v>2489.5</v>
      </c>
      <c r="G25" s="17">
        <v>2490</v>
      </c>
      <c r="H25" s="17">
        <f t="shared" si="1"/>
        <v>4979.5</v>
      </c>
      <c r="I25" s="17">
        <v>3000</v>
      </c>
      <c r="J25" s="17">
        <f t="shared" si="2"/>
        <v>-1979.5</v>
      </c>
      <c r="K25" s="194">
        <v>300</v>
      </c>
      <c r="L25" s="194">
        <v>3900</v>
      </c>
      <c r="M25" s="194">
        <v>12</v>
      </c>
      <c r="N25" s="194">
        <v>37.200000000000003</v>
      </c>
      <c r="O25" s="194">
        <v>3937.2</v>
      </c>
      <c r="P25" s="18">
        <v>4286.3999999999996</v>
      </c>
      <c r="Q25" s="18">
        <f t="shared" si="3"/>
        <v>8223.5999999999985</v>
      </c>
      <c r="R25" s="17">
        <f>(25*B6)+(25*C6)+(2*D6)</f>
        <v>22900</v>
      </c>
      <c r="S25" s="18">
        <f t="shared" si="4"/>
        <v>14676.400000000001</v>
      </c>
      <c r="T25" s="194">
        <v>315</v>
      </c>
      <c r="U25" s="199">
        <v>10395</v>
      </c>
      <c r="V25" s="19">
        <v>10296</v>
      </c>
      <c r="W25" s="19">
        <f t="shared" si="5"/>
        <v>20691</v>
      </c>
      <c r="X25" s="28">
        <f>W25/33</f>
        <v>627</v>
      </c>
      <c r="Y25" s="19">
        <f>-W25*Y11</f>
        <v>-20691</v>
      </c>
      <c r="Z25" s="193"/>
      <c r="AA25" s="198">
        <v>0</v>
      </c>
      <c r="AB25" s="18">
        <f t="shared" si="6"/>
        <v>0</v>
      </c>
      <c r="AC25" s="100">
        <f t="shared" si="7"/>
        <v>0</v>
      </c>
      <c r="AD25" s="109">
        <f>J25+S25+Y25+AC25+AG25</f>
        <v>2038.3329459776069</v>
      </c>
      <c r="AE25" s="103">
        <f t="shared" si="13"/>
        <v>60.465116279069761</v>
      </c>
      <c r="AF25" s="17">
        <f>X25*AE25/100</f>
        <v>379.11627906976742</v>
      </c>
      <c r="AG25" s="17">
        <f>AF25*AG11/AF67</f>
        <v>10032.432945977605</v>
      </c>
      <c r="AH25" s="199">
        <f t="shared" si="9"/>
        <v>6426.7</v>
      </c>
      <c r="AI25" s="199">
        <f t="shared" si="0"/>
        <v>16821.7</v>
      </c>
      <c r="AJ25" s="199">
        <v>16210.7</v>
      </c>
      <c r="AK25" s="199">
        <f t="shared" si="10"/>
        <v>611</v>
      </c>
      <c r="AL25" s="199" t="s">
        <v>43</v>
      </c>
      <c r="AM25" s="144">
        <v>1700</v>
      </c>
      <c r="AN25" s="150">
        <v>542.35</v>
      </c>
      <c r="AO25" s="199">
        <f t="shared" si="11"/>
        <v>2242.35</v>
      </c>
      <c r="AP25" s="196"/>
      <c r="AQ25" s="196"/>
      <c r="AR25" s="196"/>
      <c r="AS25" s="196"/>
    </row>
    <row r="26" spans="1:45" s="197" customFormat="1">
      <c r="A26" s="194" t="s">
        <v>55</v>
      </c>
      <c r="B26" s="17">
        <v>43</v>
      </c>
      <c r="C26" s="194">
        <v>43</v>
      </c>
      <c r="D26" s="17">
        <v>27</v>
      </c>
      <c r="E26" s="18">
        <v>62.790697674418603</v>
      </c>
      <c r="F26" s="18">
        <v>2490</v>
      </c>
      <c r="G26" s="17">
        <v>2490</v>
      </c>
      <c r="H26" s="17">
        <f t="shared" si="1"/>
        <v>4980</v>
      </c>
      <c r="I26" s="17">
        <v>3000</v>
      </c>
      <c r="J26" s="17">
        <f t="shared" si="2"/>
        <v>-1980</v>
      </c>
      <c r="K26" s="194">
        <v>135</v>
      </c>
      <c r="L26" s="18">
        <v>1755</v>
      </c>
      <c r="M26" s="18">
        <v>0</v>
      </c>
      <c r="N26" s="18">
        <v>0</v>
      </c>
      <c r="O26" s="18">
        <v>1755</v>
      </c>
      <c r="P26" s="18">
        <v>1755</v>
      </c>
      <c r="Q26" s="18">
        <f t="shared" si="3"/>
        <v>3510</v>
      </c>
      <c r="R26" s="17">
        <f>(25*B6)+(2*C6)</f>
        <v>13300</v>
      </c>
      <c r="S26" s="18">
        <f t="shared" si="4"/>
        <v>9790</v>
      </c>
      <c r="T26" s="18">
        <v>105</v>
      </c>
      <c r="U26" s="18">
        <v>0</v>
      </c>
      <c r="V26" s="19">
        <v>3465</v>
      </c>
      <c r="W26" s="19">
        <f t="shared" si="5"/>
        <v>3465</v>
      </c>
      <c r="X26" s="28">
        <f>W26/33</f>
        <v>105</v>
      </c>
      <c r="Y26" s="19">
        <f>-W26*Y11</f>
        <v>-3465</v>
      </c>
      <c r="Z26" s="194"/>
      <c r="AA26" s="198">
        <v>0</v>
      </c>
      <c r="AB26" s="18">
        <f t="shared" si="6"/>
        <v>0</v>
      </c>
      <c r="AC26" s="100">
        <f t="shared" si="7"/>
        <v>0</v>
      </c>
      <c r="AD26" s="108">
        <f>J26+S26+Y26+AC26+AG26</f>
        <v>6089.6906761039445</v>
      </c>
      <c r="AE26" s="103">
        <f t="shared" si="13"/>
        <v>62.790697674418603</v>
      </c>
      <c r="AF26" s="17">
        <f>X26*AE26/100</f>
        <v>65.930232558139537</v>
      </c>
      <c r="AG26" s="17">
        <f>AF26*AG11/AF67</f>
        <v>1744.690676103945</v>
      </c>
      <c r="AH26" s="199"/>
      <c r="AI26" s="199">
        <f t="shared" si="0"/>
        <v>0</v>
      </c>
      <c r="AJ26" s="199">
        <v>8651.5</v>
      </c>
      <c r="AK26" s="199">
        <f t="shared" si="10"/>
        <v>-8651.5</v>
      </c>
      <c r="AL26" s="199"/>
      <c r="AM26" s="199"/>
      <c r="AN26" s="199"/>
      <c r="AO26" s="199">
        <f t="shared" si="11"/>
        <v>0</v>
      </c>
      <c r="AP26" s="196"/>
      <c r="AQ26" s="196"/>
      <c r="AR26" s="196"/>
      <c r="AS26" s="196"/>
    </row>
    <row r="27" spans="1:45" s="197" customFormat="1">
      <c r="A27" s="194" t="s">
        <v>56</v>
      </c>
      <c r="B27" s="17"/>
      <c r="C27" s="194"/>
      <c r="D27" s="17"/>
      <c r="E27" s="18"/>
      <c r="F27" s="199"/>
      <c r="G27" s="17"/>
      <c r="H27" s="17">
        <f t="shared" si="1"/>
        <v>0</v>
      </c>
      <c r="I27" s="17"/>
      <c r="J27" s="17"/>
      <c r="K27" s="199"/>
      <c r="L27" s="199"/>
      <c r="M27" s="199"/>
      <c r="N27" s="199"/>
      <c r="O27" s="199"/>
      <c r="P27" s="18"/>
      <c r="Q27" s="18">
        <f t="shared" si="3"/>
        <v>0</v>
      </c>
      <c r="R27" s="17">
        <f t="shared" ref="R27:R60" si="14">213*D27</f>
        <v>0</v>
      </c>
      <c r="S27" s="18">
        <f t="shared" si="4"/>
        <v>0</v>
      </c>
      <c r="T27" s="199"/>
      <c r="U27" s="199"/>
      <c r="V27" s="19"/>
      <c r="W27" s="19">
        <f t="shared" si="5"/>
        <v>0</v>
      </c>
      <c r="X27" s="19"/>
      <c r="Y27" s="19">
        <f>-W27</f>
        <v>0</v>
      </c>
      <c r="Z27" s="199"/>
      <c r="AA27" s="198"/>
      <c r="AB27" s="18">
        <f t="shared" si="6"/>
        <v>0</v>
      </c>
      <c r="AC27" s="100">
        <f t="shared" si="7"/>
        <v>0</v>
      </c>
      <c r="AD27" s="109">
        <f t="shared" si="8"/>
        <v>0</v>
      </c>
      <c r="AE27" s="103">
        <f t="shared" si="13"/>
        <v>0</v>
      </c>
      <c r="AF27" s="17"/>
      <c r="AG27" s="17"/>
      <c r="AH27" s="199">
        <f t="shared" si="9"/>
        <v>0</v>
      </c>
      <c r="AI27" s="199">
        <f t="shared" si="0"/>
        <v>0</v>
      </c>
      <c r="AJ27" s="199">
        <v>0</v>
      </c>
      <c r="AK27" s="199">
        <f t="shared" si="10"/>
        <v>0</v>
      </c>
      <c r="AL27" s="199"/>
      <c r="AM27" s="199"/>
      <c r="AN27" s="199"/>
      <c r="AO27" s="199">
        <f t="shared" si="11"/>
        <v>0</v>
      </c>
      <c r="AP27" s="196"/>
      <c r="AQ27" s="196"/>
      <c r="AR27" s="196"/>
      <c r="AS27" s="196"/>
    </row>
    <row r="28" spans="1:45" s="197" customFormat="1">
      <c r="A28" s="194" t="s">
        <v>57</v>
      </c>
      <c r="B28" s="11">
        <v>24</v>
      </c>
      <c r="C28" s="194">
        <v>49</v>
      </c>
      <c r="D28" s="11">
        <v>8</v>
      </c>
      <c r="E28" s="23">
        <v>33.333333333333329</v>
      </c>
      <c r="F28" s="194">
        <v>2489.5</v>
      </c>
      <c r="G28" s="17">
        <v>2490</v>
      </c>
      <c r="H28" s="17">
        <f t="shared" si="1"/>
        <v>4979.5</v>
      </c>
      <c r="I28" s="17">
        <v>3000</v>
      </c>
      <c r="J28" s="17">
        <f t="shared" si="2"/>
        <v>-1979.5</v>
      </c>
      <c r="K28" s="193">
        <v>55</v>
      </c>
      <c r="L28" s="193">
        <v>715</v>
      </c>
      <c r="M28" s="193">
        <v>18</v>
      </c>
      <c r="N28" s="193">
        <v>55.800000000000004</v>
      </c>
      <c r="O28" s="193">
        <v>770.8</v>
      </c>
      <c r="P28" s="18">
        <v>372.7</v>
      </c>
      <c r="Q28" s="18">
        <f t="shared" si="3"/>
        <v>1143.5</v>
      </c>
      <c r="R28" s="17">
        <f>(8*B6)</f>
        <v>4000</v>
      </c>
      <c r="S28" s="18">
        <f t="shared" si="4"/>
        <v>2856.5</v>
      </c>
      <c r="T28" s="194">
        <v>182</v>
      </c>
      <c r="U28" s="194">
        <v>6006</v>
      </c>
      <c r="V28" s="19">
        <v>6798</v>
      </c>
      <c r="W28" s="19">
        <f t="shared" si="5"/>
        <v>12804</v>
      </c>
      <c r="X28" s="20">
        <f>W28/33</f>
        <v>388</v>
      </c>
      <c r="Y28" s="19">
        <f>-W28*Y11</f>
        <v>-12804</v>
      </c>
      <c r="Z28" s="194"/>
      <c r="AA28" s="198"/>
      <c r="AB28" s="18">
        <f t="shared" si="6"/>
        <v>0</v>
      </c>
      <c r="AC28" s="100">
        <f t="shared" si="7"/>
        <v>0</v>
      </c>
      <c r="AD28" s="109">
        <f>J28+S28+Y28+AC28+AG28</f>
        <v>-8504.4933286163177</v>
      </c>
      <c r="AE28" s="103">
        <f t="shared" si="13"/>
        <v>33.333333333333329</v>
      </c>
      <c r="AF28" s="17">
        <f>X28*AE28/100</f>
        <v>129.33333333333331</v>
      </c>
      <c r="AG28" s="17">
        <f>AF28*AG11/AF67</f>
        <v>3422.5066713836818</v>
      </c>
      <c r="AH28" s="199">
        <f t="shared" si="9"/>
        <v>3260.3</v>
      </c>
      <c r="AI28" s="199">
        <f t="shared" si="0"/>
        <v>9266.2999999999993</v>
      </c>
      <c r="AJ28" s="199">
        <v>11059.1</v>
      </c>
      <c r="AK28" s="199">
        <f t="shared" si="10"/>
        <v>-1792.8000000000011</v>
      </c>
      <c r="AL28" s="199" t="s">
        <v>58</v>
      </c>
      <c r="AM28" s="145">
        <v>7190</v>
      </c>
      <c r="AN28" s="199"/>
      <c r="AO28" s="199">
        <f t="shared" si="11"/>
        <v>7190</v>
      </c>
      <c r="AP28" s="196"/>
      <c r="AQ28" s="196"/>
      <c r="AR28" s="196"/>
      <c r="AS28" s="196"/>
    </row>
    <row r="29" spans="1:45" s="197" customFormat="1">
      <c r="A29" s="194" t="s">
        <v>59</v>
      </c>
      <c r="B29" s="17">
        <v>58</v>
      </c>
      <c r="C29" s="194">
        <v>53</v>
      </c>
      <c r="D29" s="17">
        <v>30</v>
      </c>
      <c r="E29" s="18">
        <v>51.724137931034484</v>
      </c>
      <c r="F29" s="199">
        <v>2489.5</v>
      </c>
      <c r="G29" s="17">
        <v>2490</v>
      </c>
      <c r="H29" s="17">
        <f t="shared" si="1"/>
        <v>4979.5</v>
      </c>
      <c r="I29" s="17">
        <v>3000</v>
      </c>
      <c r="J29" s="17">
        <f t="shared" si="2"/>
        <v>-1979.5</v>
      </c>
      <c r="K29" s="199">
        <v>120</v>
      </c>
      <c r="L29" s="199">
        <v>1560</v>
      </c>
      <c r="M29" s="199">
        <v>52</v>
      </c>
      <c r="N29" s="199">
        <v>161.20000000000002</v>
      </c>
      <c r="O29" s="199">
        <v>1721.2</v>
      </c>
      <c r="P29" s="18">
        <v>1749.6</v>
      </c>
      <c r="Q29" s="18">
        <f t="shared" si="3"/>
        <v>3470.8</v>
      </c>
      <c r="R29" s="17">
        <f>(25*B6)+(5*C6)</f>
        <v>14500</v>
      </c>
      <c r="S29" s="18">
        <f t="shared" si="4"/>
        <v>11029.2</v>
      </c>
      <c r="T29" s="199">
        <v>0</v>
      </c>
      <c r="U29" s="199">
        <v>0</v>
      </c>
      <c r="V29" s="19">
        <v>0</v>
      </c>
      <c r="W29" s="19">
        <f t="shared" si="5"/>
        <v>0</v>
      </c>
      <c r="X29" s="19"/>
      <c r="Y29" s="19">
        <f>-W29</f>
        <v>0</v>
      </c>
      <c r="Z29" s="199"/>
      <c r="AA29" s="198"/>
      <c r="AB29" s="18">
        <f t="shared" si="6"/>
        <v>0</v>
      </c>
      <c r="AC29" s="100">
        <f t="shared" si="7"/>
        <v>0</v>
      </c>
      <c r="AD29" s="109">
        <f t="shared" si="8"/>
        <v>9049.7000000000007</v>
      </c>
      <c r="AE29" s="103"/>
      <c r="AF29" s="17"/>
      <c r="AG29" s="17"/>
      <c r="AH29" s="199">
        <f t="shared" si="9"/>
        <v>4210.7</v>
      </c>
      <c r="AI29" s="199">
        <f t="shared" si="0"/>
        <v>4210.7</v>
      </c>
      <c r="AJ29" s="199">
        <v>4239.1000000000004</v>
      </c>
      <c r="AK29" s="199">
        <f t="shared" si="10"/>
        <v>-28.400000000000546</v>
      </c>
      <c r="AL29" s="199" t="s">
        <v>43</v>
      </c>
      <c r="AM29" s="199"/>
      <c r="AN29" s="199"/>
      <c r="AO29" s="199">
        <f t="shared" si="11"/>
        <v>0</v>
      </c>
      <c r="AP29" s="196"/>
      <c r="AQ29" s="196"/>
      <c r="AR29" s="196"/>
      <c r="AS29" s="196"/>
    </row>
    <row r="30" spans="1:45" s="197" customFormat="1">
      <c r="A30" s="194" t="s">
        <v>60</v>
      </c>
      <c r="B30" s="11">
        <v>170</v>
      </c>
      <c r="C30" s="194">
        <v>106</v>
      </c>
      <c r="D30" s="11">
        <v>42</v>
      </c>
      <c r="E30" s="23">
        <v>24.705882352941178</v>
      </c>
      <c r="F30" s="194">
        <v>2489.5</v>
      </c>
      <c r="G30" s="17">
        <v>2490</v>
      </c>
      <c r="H30" s="17">
        <f t="shared" si="1"/>
        <v>4979.5</v>
      </c>
      <c r="I30" s="17">
        <v>3000</v>
      </c>
      <c r="J30" s="17">
        <f t="shared" si="2"/>
        <v>-1979.5</v>
      </c>
      <c r="K30" s="193">
        <v>78</v>
      </c>
      <c r="L30" s="193">
        <v>1014</v>
      </c>
      <c r="M30" s="193">
        <v>96</v>
      </c>
      <c r="N30" s="193">
        <v>297.60000000000002</v>
      </c>
      <c r="O30" s="193">
        <v>1311.6</v>
      </c>
      <c r="P30" s="18">
        <v>1575</v>
      </c>
      <c r="Q30" s="18">
        <f t="shared" si="3"/>
        <v>2886.6</v>
      </c>
      <c r="R30" s="17">
        <f>(25*B6)+(17*C6)</f>
        <v>19300</v>
      </c>
      <c r="S30" s="18">
        <f t="shared" si="4"/>
        <v>16413.400000000001</v>
      </c>
      <c r="T30" s="194">
        <v>0</v>
      </c>
      <c r="U30" s="194">
        <v>0</v>
      </c>
      <c r="V30" s="19">
        <v>0</v>
      </c>
      <c r="W30" s="19">
        <f t="shared" si="5"/>
        <v>0</v>
      </c>
      <c r="X30" s="19"/>
      <c r="Y30" s="19">
        <f>-W30</f>
        <v>0</v>
      </c>
      <c r="Z30" s="194"/>
      <c r="AA30" s="198"/>
      <c r="AB30" s="18">
        <f t="shared" si="6"/>
        <v>0</v>
      </c>
      <c r="AC30" s="100">
        <f t="shared" si="7"/>
        <v>0</v>
      </c>
      <c r="AD30" s="109">
        <f t="shared" si="8"/>
        <v>14433.900000000001</v>
      </c>
      <c r="AE30" s="103"/>
      <c r="AF30" s="17"/>
      <c r="AG30" s="17"/>
      <c r="AH30" s="199">
        <f t="shared" si="9"/>
        <v>3801.1</v>
      </c>
      <c r="AI30" s="199">
        <f t="shared" si="0"/>
        <v>3801.1</v>
      </c>
      <c r="AJ30" s="201">
        <v>4065</v>
      </c>
      <c r="AK30" s="199">
        <f t="shared" si="10"/>
        <v>-263.90000000000009</v>
      </c>
      <c r="AL30" s="199"/>
      <c r="AM30" s="199">
        <v>12275</v>
      </c>
      <c r="AN30" s="199"/>
      <c r="AO30" s="199"/>
      <c r="AP30" s="196"/>
      <c r="AQ30" s="196"/>
      <c r="AR30" s="196"/>
      <c r="AS30" s="196"/>
    </row>
    <row r="31" spans="1:45" s="197" customFormat="1">
      <c r="A31" s="194" t="s">
        <v>61</v>
      </c>
      <c r="B31" s="11">
        <v>2136</v>
      </c>
      <c r="C31" s="194">
        <v>2089</v>
      </c>
      <c r="D31" s="11">
        <v>268</v>
      </c>
      <c r="E31" s="23">
        <v>12.54681647940075</v>
      </c>
      <c r="F31" s="194">
        <v>4980</v>
      </c>
      <c r="G31" s="17">
        <v>4980</v>
      </c>
      <c r="H31" s="17">
        <f t="shared" si="1"/>
        <v>9960</v>
      </c>
      <c r="I31" s="17">
        <v>3000</v>
      </c>
      <c r="J31" s="17">
        <f t="shared" si="2"/>
        <v>-6960</v>
      </c>
      <c r="K31" s="193">
        <v>0</v>
      </c>
      <c r="L31" s="193">
        <v>0</v>
      </c>
      <c r="M31" s="193">
        <v>0</v>
      </c>
      <c r="N31" s="193">
        <v>0</v>
      </c>
      <c r="O31" s="194">
        <v>0</v>
      </c>
      <c r="P31" s="18">
        <v>0</v>
      </c>
      <c r="Q31" s="18">
        <f t="shared" si="3"/>
        <v>0</v>
      </c>
      <c r="R31" s="17">
        <v>0</v>
      </c>
      <c r="S31" s="18">
        <f t="shared" si="4"/>
        <v>0</v>
      </c>
      <c r="T31" s="194">
        <v>0</v>
      </c>
      <c r="U31" s="194">
        <v>0</v>
      </c>
      <c r="V31" s="19">
        <v>0</v>
      </c>
      <c r="W31" s="19">
        <f t="shared" si="5"/>
        <v>0</v>
      </c>
      <c r="X31" s="19"/>
      <c r="Y31" s="19">
        <f>-W31</f>
        <v>0</v>
      </c>
      <c r="Z31" s="194"/>
      <c r="AA31" s="198"/>
      <c r="AB31" s="18">
        <f t="shared" si="6"/>
        <v>0</v>
      </c>
      <c r="AC31" s="100">
        <f t="shared" si="7"/>
        <v>0</v>
      </c>
      <c r="AD31" s="108">
        <f t="shared" si="8"/>
        <v>-6960</v>
      </c>
      <c r="AE31" s="103"/>
      <c r="AF31" s="17"/>
      <c r="AG31" s="17"/>
      <c r="AH31" s="199">
        <f t="shared" si="9"/>
        <v>4980</v>
      </c>
      <c r="AI31" s="199">
        <f t="shared" si="0"/>
        <v>4980</v>
      </c>
      <c r="AJ31" s="199">
        <v>4979</v>
      </c>
      <c r="AK31" s="199">
        <f t="shared" si="10"/>
        <v>1</v>
      </c>
      <c r="AL31" s="199" t="s">
        <v>43</v>
      </c>
      <c r="AM31" s="199"/>
      <c r="AN31" s="199"/>
      <c r="AO31" s="199">
        <f t="shared" si="11"/>
        <v>0</v>
      </c>
      <c r="AP31" s="196"/>
      <c r="AQ31" s="196"/>
      <c r="AR31" s="196"/>
      <c r="AS31" s="196"/>
    </row>
    <row r="32" spans="1:45" s="197" customFormat="1">
      <c r="A32" s="194" t="s">
        <v>62</v>
      </c>
      <c r="B32" s="17">
        <v>408</v>
      </c>
      <c r="C32" s="194">
        <v>430</v>
      </c>
      <c r="D32" s="17">
        <v>339</v>
      </c>
      <c r="E32" s="18">
        <v>83.088235294117652</v>
      </c>
      <c r="F32" s="199">
        <v>4980</v>
      </c>
      <c r="G32" s="17">
        <v>4980</v>
      </c>
      <c r="H32" s="17">
        <f t="shared" si="1"/>
        <v>9960</v>
      </c>
      <c r="I32" s="17">
        <v>3000</v>
      </c>
      <c r="J32" s="17">
        <f t="shared" si="2"/>
        <v>-6960</v>
      </c>
      <c r="K32" s="199">
        <v>1869</v>
      </c>
      <c r="L32" s="199">
        <v>24297</v>
      </c>
      <c r="M32" s="199">
        <v>163</v>
      </c>
      <c r="N32" s="199">
        <v>505.3</v>
      </c>
      <c r="O32" s="199">
        <v>24802.3</v>
      </c>
      <c r="P32" s="18">
        <v>26634.1</v>
      </c>
      <c r="Q32" s="18">
        <f t="shared" si="3"/>
        <v>51436.399999999994</v>
      </c>
      <c r="R32" s="17">
        <f>(25*B6)+(25*C6)+(50*D6)+(100*Q6)+(139*R6)</f>
        <v>49450</v>
      </c>
      <c r="S32" s="18">
        <f t="shared" si="4"/>
        <v>-1986.3999999999942</v>
      </c>
      <c r="T32" s="199">
        <v>175</v>
      </c>
      <c r="U32" s="199">
        <v>5775</v>
      </c>
      <c r="V32" s="19">
        <v>5676</v>
      </c>
      <c r="W32" s="19">
        <f t="shared" si="5"/>
        <v>11451</v>
      </c>
      <c r="X32" s="19"/>
      <c r="Y32" s="19">
        <f>-W32*Y11</f>
        <v>-11451</v>
      </c>
      <c r="Z32" s="199"/>
      <c r="AA32" s="198"/>
      <c r="AB32" s="18">
        <f t="shared" si="6"/>
        <v>0</v>
      </c>
      <c r="AC32" s="100">
        <f t="shared" si="7"/>
        <v>0</v>
      </c>
      <c r="AD32" s="109">
        <f t="shared" si="8"/>
        <v>-20397.399999999994</v>
      </c>
      <c r="AE32" s="103">
        <f>E32</f>
        <v>83.088235294117652</v>
      </c>
      <c r="AF32" s="17"/>
      <c r="AG32" s="17"/>
      <c r="AH32" s="199">
        <f t="shared" si="9"/>
        <v>29782.3</v>
      </c>
      <c r="AI32" s="199">
        <f t="shared" si="0"/>
        <v>35557.300000000003</v>
      </c>
      <c r="AJ32" s="199">
        <v>43067.9</v>
      </c>
      <c r="AK32" s="199">
        <f t="shared" si="10"/>
        <v>-7510.5999999999985</v>
      </c>
      <c r="AL32" s="199" t="s">
        <v>63</v>
      </c>
      <c r="AM32" s="199">
        <v>67085</v>
      </c>
      <c r="AN32" s="199"/>
      <c r="AO32" s="199">
        <f t="shared" si="11"/>
        <v>67085</v>
      </c>
      <c r="AP32" s="196"/>
      <c r="AQ32" s="196"/>
      <c r="AR32" s="196"/>
      <c r="AS32" s="196"/>
    </row>
    <row r="33" spans="1:45" s="197" customFormat="1">
      <c r="A33" s="194" t="s">
        <v>64</v>
      </c>
      <c r="B33" s="17"/>
      <c r="C33" s="194">
        <v>873</v>
      </c>
      <c r="D33" s="17">
        <v>61</v>
      </c>
      <c r="E33" s="18">
        <f>D33/C33*100</f>
        <v>6.9873997709049256</v>
      </c>
      <c r="F33" s="199">
        <v>4980</v>
      </c>
      <c r="G33" s="17">
        <v>4980</v>
      </c>
      <c r="H33" s="17">
        <f t="shared" si="1"/>
        <v>9960</v>
      </c>
      <c r="I33" s="17">
        <v>3000</v>
      </c>
      <c r="J33" s="17">
        <f t="shared" si="2"/>
        <v>-6960</v>
      </c>
      <c r="K33" s="199"/>
      <c r="L33" s="199"/>
      <c r="M33" s="199"/>
      <c r="N33" s="199"/>
      <c r="O33" s="18">
        <v>4267.8</v>
      </c>
      <c r="P33" s="18">
        <v>4267.8</v>
      </c>
      <c r="Q33" s="18">
        <f t="shared" si="3"/>
        <v>8535.6</v>
      </c>
      <c r="R33" s="17">
        <f>(25*B6)+(25*C6)+(11*D6)</f>
        <v>24700</v>
      </c>
      <c r="S33" s="18">
        <f t="shared" si="4"/>
        <v>16164.4</v>
      </c>
      <c r="T33" s="199"/>
      <c r="U33" s="199"/>
      <c r="V33" s="19">
        <v>0</v>
      </c>
      <c r="W33" s="19">
        <f t="shared" si="5"/>
        <v>0</v>
      </c>
      <c r="X33" s="19"/>
      <c r="Y33" s="19">
        <f>-W33</f>
        <v>0</v>
      </c>
      <c r="Z33" s="199"/>
      <c r="AA33" s="198">
        <v>0</v>
      </c>
      <c r="AB33" s="18">
        <f t="shared" si="6"/>
        <v>0</v>
      </c>
      <c r="AC33" s="100">
        <f t="shared" si="7"/>
        <v>0</v>
      </c>
      <c r="AD33" s="108">
        <f t="shared" si="8"/>
        <v>9204.4</v>
      </c>
      <c r="AE33" s="103"/>
      <c r="AF33" s="17"/>
      <c r="AG33" s="17"/>
      <c r="AH33" s="199">
        <f t="shared" si="9"/>
        <v>9247.7999999999993</v>
      </c>
      <c r="AI33" s="199">
        <f t="shared" si="0"/>
        <v>9247.7999999999993</v>
      </c>
      <c r="AJ33" s="199">
        <v>10435.4</v>
      </c>
      <c r="AK33" s="199">
        <f t="shared" si="10"/>
        <v>-1187.6000000000004</v>
      </c>
      <c r="AL33" s="199"/>
      <c r="AM33" s="199"/>
      <c r="AN33" s="199"/>
      <c r="AO33" s="199">
        <f t="shared" si="11"/>
        <v>0</v>
      </c>
      <c r="AP33" s="196"/>
      <c r="AQ33" s="196"/>
      <c r="AR33" s="196"/>
      <c r="AS33" s="196"/>
    </row>
    <row r="34" spans="1:45" s="197" customFormat="1" ht="30">
      <c r="A34" s="224" t="s">
        <v>65</v>
      </c>
      <c r="B34" s="17"/>
      <c r="C34" s="194"/>
      <c r="D34" s="17"/>
      <c r="E34" s="18"/>
      <c r="F34" s="199"/>
      <c r="G34" s="17"/>
      <c r="H34" s="17">
        <f t="shared" si="1"/>
        <v>0</v>
      </c>
      <c r="I34" s="17"/>
      <c r="J34" s="17">
        <f t="shared" si="2"/>
        <v>0</v>
      </c>
      <c r="K34" s="199"/>
      <c r="L34" s="199"/>
      <c r="M34" s="199"/>
      <c r="N34" s="199"/>
      <c r="O34" s="199"/>
      <c r="P34" s="18"/>
      <c r="Q34" s="18">
        <f t="shared" si="3"/>
        <v>0</v>
      </c>
      <c r="R34" s="17">
        <f t="shared" si="14"/>
        <v>0</v>
      </c>
      <c r="S34" s="18">
        <f t="shared" si="4"/>
        <v>0</v>
      </c>
      <c r="T34" s="199"/>
      <c r="U34" s="199"/>
      <c r="V34" s="19"/>
      <c r="W34" s="19">
        <f t="shared" si="5"/>
        <v>0</v>
      </c>
      <c r="X34" s="19"/>
      <c r="Y34" s="19">
        <f>-W34</f>
        <v>0</v>
      </c>
      <c r="Z34" s="199"/>
      <c r="AA34" s="198"/>
      <c r="AB34" s="18">
        <f t="shared" si="6"/>
        <v>0</v>
      </c>
      <c r="AC34" s="100">
        <f t="shared" si="7"/>
        <v>0</v>
      </c>
      <c r="AD34" s="109">
        <f t="shared" si="8"/>
        <v>0</v>
      </c>
      <c r="AE34" s="103"/>
      <c r="AF34" s="17"/>
      <c r="AG34" s="17"/>
      <c r="AH34" s="199">
        <f t="shared" si="9"/>
        <v>0</v>
      </c>
      <c r="AI34" s="199">
        <f t="shared" si="0"/>
        <v>0</v>
      </c>
      <c r="AJ34" s="199">
        <v>0</v>
      </c>
      <c r="AK34" s="199">
        <f t="shared" si="10"/>
        <v>0</v>
      </c>
      <c r="AL34" s="199"/>
      <c r="AM34" s="199"/>
      <c r="AN34" s="199"/>
      <c r="AO34" s="199">
        <f t="shared" si="11"/>
        <v>0</v>
      </c>
      <c r="AP34" s="196"/>
      <c r="AQ34" s="196"/>
      <c r="AR34" s="196"/>
      <c r="AS34" s="196"/>
    </row>
    <row r="35" spans="1:45" s="197" customFormat="1">
      <c r="A35" s="194" t="s">
        <v>66</v>
      </c>
      <c r="B35" s="17">
        <v>382</v>
      </c>
      <c r="C35" s="194">
        <v>385</v>
      </c>
      <c r="D35" s="17">
        <v>359</v>
      </c>
      <c r="E35" s="18">
        <v>93.979057591623032</v>
      </c>
      <c r="F35" s="199">
        <v>4980</v>
      </c>
      <c r="G35" s="17">
        <v>4980</v>
      </c>
      <c r="H35" s="17">
        <f t="shared" si="1"/>
        <v>9960</v>
      </c>
      <c r="I35" s="17">
        <v>3000</v>
      </c>
      <c r="J35" s="17">
        <f t="shared" si="2"/>
        <v>-6960</v>
      </c>
      <c r="K35" s="199">
        <v>2094</v>
      </c>
      <c r="L35" s="199">
        <v>27222</v>
      </c>
      <c r="M35" s="199">
        <v>60</v>
      </c>
      <c r="N35" s="199">
        <v>186</v>
      </c>
      <c r="O35" s="199">
        <v>27408</v>
      </c>
      <c r="P35" s="18">
        <v>26902.799999999999</v>
      </c>
      <c r="Q35" s="18">
        <f t="shared" si="3"/>
        <v>54310.8</v>
      </c>
      <c r="R35" s="17">
        <f>(25*B6)+(25*C6)+(50*D6)+(100*Q6)+(159*R6)</f>
        <v>50450</v>
      </c>
      <c r="S35" s="18">
        <f t="shared" si="4"/>
        <v>-3860.8000000000029</v>
      </c>
      <c r="T35" s="199">
        <v>1786</v>
      </c>
      <c r="U35" s="199">
        <v>58938</v>
      </c>
      <c r="V35" s="19">
        <v>54912</v>
      </c>
      <c r="W35" s="19">
        <f t="shared" si="5"/>
        <v>113850</v>
      </c>
      <c r="X35" s="28">
        <f>W35/33</f>
        <v>3450</v>
      </c>
      <c r="Y35" s="19">
        <f>-W35*Y11</f>
        <v>-113850</v>
      </c>
      <c r="Z35" s="199"/>
      <c r="AA35" s="198"/>
      <c r="AB35" s="18">
        <f t="shared" si="6"/>
        <v>0</v>
      </c>
      <c r="AC35" s="100">
        <f t="shared" si="7"/>
        <v>0</v>
      </c>
      <c r="AD35" s="109">
        <f>J35+S35+Y35+AC35+AG35</f>
        <v>-38871.446937396919</v>
      </c>
      <c r="AE35" s="103">
        <f>E35</f>
        <v>93.979057591623032</v>
      </c>
      <c r="AF35" s="17">
        <f>X35*AE35/100</f>
        <v>3242.2774869109944</v>
      </c>
      <c r="AG35" s="17">
        <f>AF35*AG11/AF67</f>
        <v>85799.353062603084</v>
      </c>
      <c r="AH35" s="199">
        <f t="shared" si="9"/>
        <v>32388</v>
      </c>
      <c r="AI35" s="199">
        <f t="shared" si="0"/>
        <v>91326</v>
      </c>
      <c r="AJ35" s="199">
        <v>74137.8</v>
      </c>
      <c r="AK35" s="199">
        <f t="shared" si="10"/>
        <v>17188.199999999997</v>
      </c>
      <c r="AL35" s="199" t="s">
        <v>67</v>
      </c>
      <c r="AM35" s="199">
        <v>24100</v>
      </c>
      <c r="AN35" s="199"/>
      <c r="AO35" s="199">
        <f t="shared" si="11"/>
        <v>24100</v>
      </c>
      <c r="AP35" s="196"/>
      <c r="AQ35" s="196"/>
      <c r="AR35" s="196"/>
      <c r="AS35" s="196"/>
    </row>
    <row r="36" spans="1:45" s="197" customFormat="1" ht="30">
      <c r="A36" s="224" t="s">
        <v>179</v>
      </c>
      <c r="B36" s="17"/>
      <c r="C36" s="194"/>
      <c r="D36" s="17"/>
      <c r="E36" s="18"/>
      <c r="F36" s="199"/>
      <c r="G36" s="17"/>
      <c r="H36" s="17">
        <f t="shared" si="1"/>
        <v>0</v>
      </c>
      <c r="I36" s="17"/>
      <c r="J36" s="17"/>
      <c r="K36" s="199"/>
      <c r="L36" s="199"/>
      <c r="M36" s="199"/>
      <c r="N36" s="199"/>
      <c r="O36" s="199"/>
      <c r="P36" s="18"/>
      <c r="Q36" s="18">
        <f t="shared" si="3"/>
        <v>0</v>
      </c>
      <c r="R36" s="17">
        <f t="shared" si="14"/>
        <v>0</v>
      </c>
      <c r="S36" s="18">
        <f t="shared" si="4"/>
        <v>0</v>
      </c>
      <c r="T36" s="199"/>
      <c r="U36" s="199"/>
      <c r="V36" s="19"/>
      <c r="W36" s="19">
        <f t="shared" si="5"/>
        <v>0</v>
      </c>
      <c r="X36" s="28"/>
      <c r="Y36" s="19">
        <f>-W36</f>
        <v>0</v>
      </c>
      <c r="Z36" s="199"/>
      <c r="AA36" s="198"/>
      <c r="AB36" s="18">
        <f t="shared" si="6"/>
        <v>0</v>
      </c>
      <c r="AC36" s="100">
        <f t="shared" si="7"/>
        <v>0</v>
      </c>
      <c r="AD36" s="109">
        <f t="shared" si="8"/>
        <v>0</v>
      </c>
      <c r="AE36" s="103">
        <f>E36</f>
        <v>0</v>
      </c>
      <c r="AF36" s="17">
        <f t="shared" ref="AF36" si="15">X36*AE36</f>
        <v>0</v>
      </c>
      <c r="AG36" s="17"/>
      <c r="AH36" s="199">
        <f t="shared" si="9"/>
        <v>0</v>
      </c>
      <c r="AI36" s="199">
        <f t="shared" si="0"/>
        <v>0</v>
      </c>
      <c r="AJ36" s="199">
        <v>0</v>
      </c>
      <c r="AK36" s="199">
        <f t="shared" si="10"/>
        <v>0</v>
      </c>
      <c r="AL36" s="199"/>
      <c r="AM36" s="199"/>
      <c r="AN36" s="199"/>
      <c r="AO36" s="199">
        <f t="shared" si="11"/>
        <v>0</v>
      </c>
      <c r="AP36" s="196"/>
      <c r="AQ36" s="196"/>
      <c r="AR36" s="196"/>
      <c r="AS36" s="196"/>
    </row>
    <row r="37" spans="1:45" s="197" customFormat="1">
      <c r="A37" s="194" t="s">
        <v>68</v>
      </c>
      <c r="B37" s="17">
        <v>176</v>
      </c>
      <c r="C37" s="193">
        <v>191</v>
      </c>
      <c r="D37" s="17">
        <v>146</v>
      </c>
      <c r="E37" s="18">
        <v>82.954545454545453</v>
      </c>
      <c r="F37" s="199">
        <v>2489.5</v>
      </c>
      <c r="G37" s="17">
        <v>2490</v>
      </c>
      <c r="H37" s="17">
        <f t="shared" si="1"/>
        <v>4979.5</v>
      </c>
      <c r="I37" s="17">
        <v>3000</v>
      </c>
      <c r="J37" s="17">
        <f t="shared" si="2"/>
        <v>-1979.5</v>
      </c>
      <c r="K37" s="199">
        <v>870</v>
      </c>
      <c r="L37" s="199">
        <v>11310</v>
      </c>
      <c r="M37" s="199">
        <v>6</v>
      </c>
      <c r="N37" s="199">
        <v>18.600000000000001</v>
      </c>
      <c r="O37" s="199">
        <v>11328.6</v>
      </c>
      <c r="P37" s="18">
        <v>9973</v>
      </c>
      <c r="Q37" s="18">
        <f t="shared" si="3"/>
        <v>21301.599999999999</v>
      </c>
      <c r="R37" s="17">
        <f>(25*B6)+(25*C6)+(50*D6)+(46*Q6)</f>
        <v>37100</v>
      </c>
      <c r="S37" s="18">
        <f t="shared" si="4"/>
        <v>15798.400000000001</v>
      </c>
      <c r="T37" s="199">
        <v>446</v>
      </c>
      <c r="U37" s="199">
        <v>14718</v>
      </c>
      <c r="V37" s="194">
        <v>17836.5</v>
      </c>
      <c r="W37" s="19">
        <f t="shared" si="5"/>
        <v>32554.5</v>
      </c>
      <c r="X37" s="20">
        <f>W37/33</f>
        <v>986.5</v>
      </c>
      <c r="Y37" s="19">
        <f>-W37*Y11</f>
        <v>-32554.5</v>
      </c>
      <c r="Z37" s="199"/>
      <c r="AA37" s="198"/>
      <c r="AB37" s="18">
        <f t="shared" si="6"/>
        <v>0</v>
      </c>
      <c r="AC37" s="100">
        <f t="shared" si="7"/>
        <v>0</v>
      </c>
      <c r="AD37" s="108">
        <f>J37+S37+Y37+AC37+AG37</f>
        <v>2920.0443316272431</v>
      </c>
      <c r="AE37" s="103">
        <f>E37</f>
        <v>82.954545454545453</v>
      </c>
      <c r="AF37" s="17">
        <f>X37*AE37/100</f>
        <v>818.34659090909088</v>
      </c>
      <c r="AG37" s="17">
        <f>AF37*AG11/AF67</f>
        <v>21655.644331627242</v>
      </c>
      <c r="AH37" s="199">
        <f t="shared" si="9"/>
        <v>13818.1</v>
      </c>
      <c r="AI37" s="199">
        <f t="shared" si="0"/>
        <v>28536.1</v>
      </c>
      <c r="AJ37" s="199">
        <v>28561.9</v>
      </c>
      <c r="AK37" s="199">
        <f t="shared" si="10"/>
        <v>-25.80000000000291</v>
      </c>
      <c r="AL37" s="199" t="s">
        <v>43</v>
      </c>
      <c r="AM37" s="199">
        <v>30545</v>
      </c>
      <c r="AN37" s="199"/>
      <c r="AO37" s="199">
        <f t="shared" si="11"/>
        <v>30545</v>
      </c>
      <c r="AP37" s="196"/>
      <c r="AQ37" s="196"/>
      <c r="AR37" s="205"/>
      <c r="AS37" s="196"/>
    </row>
    <row r="38" spans="1:45" s="197" customFormat="1">
      <c r="A38" s="194" t="s">
        <v>69</v>
      </c>
      <c r="B38" s="17">
        <v>184</v>
      </c>
      <c r="C38" s="194">
        <v>173</v>
      </c>
      <c r="D38" s="17">
        <v>20</v>
      </c>
      <c r="E38" s="18">
        <v>10.869565217391305</v>
      </c>
      <c r="F38" s="199">
        <v>2489.5</v>
      </c>
      <c r="G38" s="17">
        <v>2490</v>
      </c>
      <c r="H38" s="17">
        <f t="shared" si="1"/>
        <v>4979.5</v>
      </c>
      <c r="I38" s="17">
        <v>3000</v>
      </c>
      <c r="J38" s="17">
        <f t="shared" si="2"/>
        <v>-1979.5</v>
      </c>
      <c r="K38" s="199">
        <v>114</v>
      </c>
      <c r="L38" s="199">
        <v>1482</v>
      </c>
      <c r="M38" s="199">
        <v>6</v>
      </c>
      <c r="N38" s="199">
        <v>18.600000000000001</v>
      </c>
      <c r="O38" s="199">
        <v>1500.6</v>
      </c>
      <c r="P38" s="18">
        <v>873</v>
      </c>
      <c r="Q38" s="18">
        <f t="shared" si="3"/>
        <v>2373.6</v>
      </c>
      <c r="R38" s="17">
        <f>(20*B6)</f>
        <v>10000</v>
      </c>
      <c r="S38" s="18">
        <f t="shared" si="4"/>
        <v>7626.4</v>
      </c>
      <c r="T38" s="199">
        <v>48</v>
      </c>
      <c r="U38" s="199">
        <v>1584</v>
      </c>
      <c r="V38" s="19">
        <v>0</v>
      </c>
      <c r="W38" s="19">
        <f t="shared" si="5"/>
        <v>1584</v>
      </c>
      <c r="X38" s="19"/>
      <c r="Y38" s="19">
        <f>-W38*Y11</f>
        <v>-1584</v>
      </c>
      <c r="Z38" s="199">
        <f>[2]Svømmetimetilskud!J11</f>
        <v>620.86349478739248</v>
      </c>
      <c r="AA38" s="203">
        <v>650.34284974051502</v>
      </c>
      <c r="AB38" s="18">
        <f t="shared" si="6"/>
        <v>1271.2063445279075</v>
      </c>
      <c r="AC38" s="100">
        <f>-AB38/2</f>
        <v>-635.60317226395375</v>
      </c>
      <c r="AD38" s="108">
        <f t="shared" si="8"/>
        <v>3427.296827736046</v>
      </c>
      <c r="AE38" s="103">
        <f>E38</f>
        <v>10.869565217391305</v>
      </c>
      <c r="AF38" s="17"/>
      <c r="AG38" s="17"/>
      <c r="AH38" s="199">
        <f t="shared" si="9"/>
        <v>3990.1</v>
      </c>
      <c r="AI38" s="199">
        <f t="shared" si="0"/>
        <v>5574.1</v>
      </c>
      <c r="AJ38" s="199">
        <v>4885.3</v>
      </c>
      <c r="AK38" s="199">
        <f t="shared" si="10"/>
        <v>688.80000000000018</v>
      </c>
      <c r="AL38" s="199" t="s">
        <v>43</v>
      </c>
      <c r="AM38" s="199"/>
      <c r="AN38" s="199"/>
      <c r="AO38" s="199">
        <f t="shared" si="11"/>
        <v>0</v>
      </c>
      <c r="AP38" s="196"/>
      <c r="AQ38" s="196"/>
      <c r="AR38" s="196"/>
      <c r="AS38" s="196"/>
    </row>
    <row r="39" spans="1:45" s="197" customFormat="1">
      <c r="A39" s="194" t="s">
        <v>70</v>
      </c>
      <c r="B39" s="17">
        <v>34</v>
      </c>
      <c r="C39" s="194">
        <v>33</v>
      </c>
      <c r="D39" s="17">
        <v>18</v>
      </c>
      <c r="E39" s="18">
        <v>52.941176470588239</v>
      </c>
      <c r="F39" s="199">
        <v>2489.5</v>
      </c>
      <c r="G39" s="17">
        <v>2490</v>
      </c>
      <c r="H39" s="17">
        <f t="shared" si="1"/>
        <v>4979.5</v>
      </c>
      <c r="I39" s="17">
        <v>3000</v>
      </c>
      <c r="J39" s="17">
        <f t="shared" si="2"/>
        <v>-1979.5</v>
      </c>
      <c r="K39" s="199">
        <v>104</v>
      </c>
      <c r="L39" s="199">
        <v>1352</v>
      </c>
      <c r="M39" s="199">
        <v>3</v>
      </c>
      <c r="N39" s="199">
        <v>9.3000000000000007</v>
      </c>
      <c r="O39" s="199">
        <v>1361.3</v>
      </c>
      <c r="P39" s="18">
        <v>936</v>
      </c>
      <c r="Q39" s="18">
        <f t="shared" si="3"/>
        <v>2297.3000000000002</v>
      </c>
      <c r="R39" s="17">
        <f>(18*B6)</f>
        <v>9000</v>
      </c>
      <c r="S39" s="18">
        <f t="shared" si="4"/>
        <v>6702.7</v>
      </c>
      <c r="T39" s="199">
        <v>0</v>
      </c>
      <c r="U39" s="199">
        <v>0</v>
      </c>
      <c r="V39" s="19">
        <v>0</v>
      </c>
      <c r="W39" s="19">
        <f t="shared" si="5"/>
        <v>0</v>
      </c>
      <c r="X39" s="19"/>
      <c r="Y39" s="19">
        <f>-W39</f>
        <v>0</v>
      </c>
      <c r="Z39" s="199"/>
      <c r="AA39" s="198"/>
      <c r="AB39" s="18">
        <f t="shared" si="6"/>
        <v>0</v>
      </c>
      <c r="AC39" s="100">
        <f t="shared" si="7"/>
        <v>0</v>
      </c>
      <c r="AD39" s="109">
        <f t="shared" si="8"/>
        <v>4723.2</v>
      </c>
      <c r="AE39" s="103"/>
      <c r="AF39" s="17"/>
      <c r="AG39" s="17"/>
      <c r="AH39" s="199">
        <f t="shared" si="9"/>
        <v>3850.8</v>
      </c>
      <c r="AI39" s="199">
        <f t="shared" si="0"/>
        <v>3850.8</v>
      </c>
      <c r="AJ39" s="199">
        <v>3384.7</v>
      </c>
      <c r="AK39" s="199">
        <f t="shared" si="10"/>
        <v>466.10000000000036</v>
      </c>
      <c r="AL39" s="199" t="s">
        <v>43</v>
      </c>
      <c r="AM39" s="199">
        <v>1200</v>
      </c>
      <c r="AN39" s="199"/>
      <c r="AO39" s="199">
        <f t="shared" si="11"/>
        <v>1200</v>
      </c>
      <c r="AP39" s="196"/>
      <c r="AQ39" s="196"/>
      <c r="AR39" s="196"/>
      <c r="AS39" s="196"/>
    </row>
    <row r="40" spans="1:45" s="197" customFormat="1">
      <c r="A40" s="194" t="s">
        <v>71</v>
      </c>
      <c r="B40" s="17"/>
      <c r="C40" s="194"/>
      <c r="D40" s="17"/>
      <c r="E40" s="18"/>
      <c r="F40" s="199"/>
      <c r="G40" s="17"/>
      <c r="H40" s="17">
        <f t="shared" si="1"/>
        <v>0</v>
      </c>
      <c r="I40" s="17">
        <v>3000</v>
      </c>
      <c r="J40" s="17">
        <f t="shared" si="2"/>
        <v>3000</v>
      </c>
      <c r="K40" s="199"/>
      <c r="L40" s="199"/>
      <c r="M40" s="199"/>
      <c r="N40" s="199"/>
      <c r="O40" s="199"/>
      <c r="P40" s="18"/>
      <c r="Q40" s="18">
        <f t="shared" si="3"/>
        <v>0</v>
      </c>
      <c r="R40" s="17">
        <f t="shared" si="14"/>
        <v>0</v>
      </c>
      <c r="S40" s="18">
        <f t="shared" si="4"/>
        <v>0</v>
      </c>
      <c r="T40" s="199"/>
      <c r="U40" s="199"/>
      <c r="V40" s="19"/>
      <c r="W40" s="19">
        <f t="shared" si="5"/>
        <v>0</v>
      </c>
      <c r="X40" s="19"/>
      <c r="Y40" s="19">
        <f>-W40</f>
        <v>0</v>
      </c>
      <c r="Z40" s="199"/>
      <c r="AA40" s="198"/>
      <c r="AB40" s="18">
        <f t="shared" si="6"/>
        <v>0</v>
      </c>
      <c r="AC40" s="100">
        <f t="shared" si="7"/>
        <v>0</v>
      </c>
      <c r="AD40" s="109">
        <f t="shared" si="8"/>
        <v>3000</v>
      </c>
      <c r="AE40" s="103"/>
      <c r="AF40" s="17"/>
      <c r="AG40" s="17"/>
      <c r="AH40" s="199">
        <f t="shared" si="9"/>
        <v>0</v>
      </c>
      <c r="AI40" s="199">
        <f t="shared" si="0"/>
        <v>0</v>
      </c>
      <c r="AJ40" s="199">
        <v>0</v>
      </c>
      <c r="AK40" s="199">
        <f t="shared" si="10"/>
        <v>0</v>
      </c>
      <c r="AL40" s="199"/>
      <c r="AM40" s="199"/>
      <c r="AN40" s="199"/>
      <c r="AO40" s="199">
        <f t="shared" si="11"/>
        <v>0</v>
      </c>
      <c r="AP40" s="196"/>
      <c r="AQ40" s="196"/>
      <c r="AR40" s="196"/>
      <c r="AS40" s="196"/>
    </row>
    <row r="41" spans="1:45" s="197" customFormat="1">
      <c r="A41" s="194" t="s">
        <v>72</v>
      </c>
      <c r="B41" s="17"/>
      <c r="C41" s="194"/>
      <c r="D41" s="17"/>
      <c r="E41" s="18"/>
      <c r="F41" s="199">
        <v>2489.5</v>
      </c>
      <c r="G41" s="17"/>
      <c r="H41" s="17">
        <f t="shared" si="1"/>
        <v>2489.5</v>
      </c>
      <c r="I41" s="17">
        <v>3000</v>
      </c>
      <c r="J41" s="17">
        <f t="shared" si="2"/>
        <v>510.5</v>
      </c>
      <c r="K41" s="199"/>
      <c r="L41" s="199"/>
      <c r="M41" s="199"/>
      <c r="N41" s="199"/>
      <c r="O41" s="199"/>
      <c r="P41" s="18"/>
      <c r="Q41" s="18">
        <f t="shared" si="3"/>
        <v>0</v>
      </c>
      <c r="R41" s="17">
        <f t="shared" si="14"/>
        <v>0</v>
      </c>
      <c r="S41" s="18">
        <f t="shared" si="4"/>
        <v>0</v>
      </c>
      <c r="T41" s="199"/>
      <c r="U41" s="199"/>
      <c r="V41" s="19"/>
      <c r="W41" s="19">
        <f t="shared" si="5"/>
        <v>0</v>
      </c>
      <c r="X41" s="19"/>
      <c r="Y41" s="19">
        <f>-W41</f>
        <v>0</v>
      </c>
      <c r="Z41" s="199"/>
      <c r="AA41" s="198"/>
      <c r="AB41" s="18">
        <f t="shared" si="6"/>
        <v>0</v>
      </c>
      <c r="AC41" s="100">
        <f t="shared" si="7"/>
        <v>0</v>
      </c>
      <c r="AD41" s="109">
        <f t="shared" si="8"/>
        <v>510.5</v>
      </c>
      <c r="AE41" s="103"/>
      <c r="AF41" s="17"/>
      <c r="AG41" s="17"/>
      <c r="AH41" s="199"/>
      <c r="AI41" s="199">
        <f t="shared" si="0"/>
        <v>0</v>
      </c>
      <c r="AJ41" s="199">
        <v>5048.7</v>
      </c>
      <c r="AK41" s="199">
        <f t="shared" si="10"/>
        <v>-5048.7</v>
      </c>
      <c r="AL41" s="199"/>
      <c r="AM41" s="199"/>
      <c r="AN41" s="199"/>
      <c r="AO41" s="199">
        <f t="shared" si="11"/>
        <v>0</v>
      </c>
      <c r="AP41" s="196"/>
      <c r="AQ41" s="196"/>
      <c r="AR41" s="196"/>
      <c r="AS41" s="196"/>
    </row>
    <row r="42" spans="1:45" s="197" customFormat="1">
      <c r="A42" s="194" t="s">
        <v>73</v>
      </c>
      <c r="B42" s="17">
        <v>121</v>
      </c>
      <c r="C42" s="194"/>
      <c r="D42" s="17">
        <v>10</v>
      </c>
      <c r="E42" s="18">
        <v>8.2644628099173563</v>
      </c>
      <c r="F42" s="199">
        <v>2489.5</v>
      </c>
      <c r="G42" s="17"/>
      <c r="H42" s="17">
        <f t="shared" si="1"/>
        <v>2489.5</v>
      </c>
      <c r="I42" s="17">
        <v>3000</v>
      </c>
      <c r="J42" s="17">
        <f t="shared" si="2"/>
        <v>510.5</v>
      </c>
      <c r="K42" s="199">
        <v>42</v>
      </c>
      <c r="L42" s="199">
        <v>546</v>
      </c>
      <c r="M42" s="199">
        <v>18</v>
      </c>
      <c r="N42" s="199">
        <v>55.800000000000004</v>
      </c>
      <c r="O42" s="199">
        <v>601.79999999999995</v>
      </c>
      <c r="P42" s="18"/>
      <c r="Q42" s="18">
        <f t="shared" si="3"/>
        <v>601.79999999999995</v>
      </c>
      <c r="R42" s="17">
        <f>(10*B6)</f>
        <v>5000</v>
      </c>
      <c r="S42" s="18">
        <f t="shared" si="4"/>
        <v>4398.2</v>
      </c>
      <c r="T42" s="199">
        <v>15</v>
      </c>
      <c r="U42" s="199">
        <v>495</v>
      </c>
      <c r="V42" s="19"/>
      <c r="W42" s="19">
        <f t="shared" si="5"/>
        <v>495</v>
      </c>
      <c r="X42" s="19"/>
      <c r="Y42" s="19">
        <f>-W42*Y11</f>
        <v>-495</v>
      </c>
      <c r="Z42" s="199">
        <f>[2]Svømmetimetilskud!J13</f>
        <v>240.03127127233552</v>
      </c>
      <c r="AA42" s="36"/>
      <c r="AB42" s="18">
        <f t="shared" si="6"/>
        <v>240.03127127233552</v>
      </c>
      <c r="AC42" s="100">
        <f>-AB42/2</f>
        <v>-120.01563563616776</v>
      </c>
      <c r="AD42" s="109">
        <f t="shared" si="8"/>
        <v>4293.6843643638322</v>
      </c>
      <c r="AE42" s="103">
        <f>E42</f>
        <v>8.2644628099173563</v>
      </c>
      <c r="AF42" s="17"/>
      <c r="AG42" s="17"/>
      <c r="AH42" s="199">
        <f t="shared" si="9"/>
        <v>3091.3</v>
      </c>
      <c r="AI42" s="199">
        <f t="shared" si="0"/>
        <v>3586.3</v>
      </c>
      <c r="AJ42" s="199">
        <v>3679</v>
      </c>
      <c r="AK42" s="199">
        <f t="shared" si="10"/>
        <v>-92.699999999999818</v>
      </c>
      <c r="AL42" s="199" t="s">
        <v>43</v>
      </c>
      <c r="AM42" s="199">
        <v>999</v>
      </c>
      <c r="AN42" s="199"/>
      <c r="AO42" s="199">
        <f t="shared" si="11"/>
        <v>999</v>
      </c>
      <c r="AP42" s="196"/>
      <c r="AQ42" s="196"/>
      <c r="AR42" s="196"/>
      <c r="AS42" s="196"/>
    </row>
    <row r="43" spans="1:45" s="197" customFormat="1">
      <c r="A43" s="194" t="s">
        <v>74</v>
      </c>
      <c r="B43" s="11">
        <v>245</v>
      </c>
      <c r="C43" s="193">
        <v>215</v>
      </c>
      <c r="D43" s="11">
        <v>41</v>
      </c>
      <c r="E43" s="23">
        <v>16.73469387755102</v>
      </c>
      <c r="F43" s="194">
        <v>2489.5</v>
      </c>
      <c r="G43" s="17">
        <v>2490</v>
      </c>
      <c r="H43" s="17">
        <f t="shared" si="1"/>
        <v>4979.5</v>
      </c>
      <c r="I43" s="17">
        <v>3000</v>
      </c>
      <c r="J43" s="17">
        <f t="shared" si="2"/>
        <v>-1979.5</v>
      </c>
      <c r="K43" s="194">
        <v>246</v>
      </c>
      <c r="L43" s="194">
        <v>3198</v>
      </c>
      <c r="M43" s="194">
        <v>0</v>
      </c>
      <c r="N43" s="194">
        <v>0</v>
      </c>
      <c r="O43" s="194">
        <v>3198</v>
      </c>
      <c r="P43" s="18">
        <v>2964</v>
      </c>
      <c r="Q43" s="18">
        <f t="shared" si="3"/>
        <v>6162</v>
      </c>
      <c r="R43" s="17">
        <f>(25*B6)+(16*C6)</f>
        <v>18900</v>
      </c>
      <c r="S43" s="18">
        <f t="shared" si="4"/>
        <v>12738</v>
      </c>
      <c r="T43" s="194">
        <v>0</v>
      </c>
      <c r="U43" s="194">
        <v>0</v>
      </c>
      <c r="V43" s="194">
        <v>0</v>
      </c>
      <c r="W43" s="19">
        <f t="shared" si="5"/>
        <v>0</v>
      </c>
      <c r="X43" s="19"/>
      <c r="Y43" s="19">
        <f>-W43</f>
        <v>0</v>
      </c>
      <c r="Z43" s="194"/>
      <c r="AA43" s="198"/>
      <c r="AB43" s="18">
        <f t="shared" si="6"/>
        <v>0</v>
      </c>
      <c r="AC43" s="100">
        <f t="shared" si="7"/>
        <v>0</v>
      </c>
      <c r="AD43" s="109">
        <f t="shared" si="8"/>
        <v>10758.5</v>
      </c>
      <c r="AE43" s="103"/>
      <c r="AF43" s="17"/>
      <c r="AG43" s="17"/>
      <c r="AH43" s="199">
        <f t="shared" si="9"/>
        <v>5687.5</v>
      </c>
      <c r="AI43" s="199">
        <f t="shared" si="0"/>
        <v>5687.5</v>
      </c>
      <c r="AJ43" s="199">
        <v>5063.5</v>
      </c>
      <c r="AK43" s="199">
        <f t="shared" si="10"/>
        <v>624</v>
      </c>
      <c r="AL43" s="199" t="s">
        <v>43</v>
      </c>
      <c r="AM43" s="146">
        <v>16899.78</v>
      </c>
      <c r="AN43" s="147">
        <v>375</v>
      </c>
      <c r="AO43" s="199">
        <f t="shared" si="11"/>
        <v>17274.78</v>
      </c>
      <c r="AP43" s="196"/>
      <c r="AQ43" s="196"/>
      <c r="AR43" s="196"/>
      <c r="AS43" s="196"/>
    </row>
    <row r="44" spans="1:45" s="197" customFormat="1">
      <c r="A44" s="194" t="s">
        <v>75</v>
      </c>
      <c r="B44" s="17">
        <v>60</v>
      </c>
      <c r="C44" s="194">
        <v>57</v>
      </c>
      <c r="D44" s="17">
        <v>17</v>
      </c>
      <c r="E44" s="18">
        <v>28.333333333333332</v>
      </c>
      <c r="F44" s="199">
        <v>2489.5</v>
      </c>
      <c r="G44" s="17">
        <v>2490</v>
      </c>
      <c r="H44" s="17">
        <f t="shared" si="1"/>
        <v>4979.5</v>
      </c>
      <c r="I44" s="17">
        <v>3000</v>
      </c>
      <c r="J44" s="17">
        <f t="shared" si="2"/>
        <v>-1979.5</v>
      </c>
      <c r="K44" s="199">
        <v>90</v>
      </c>
      <c r="L44" s="199">
        <v>1170</v>
      </c>
      <c r="M44" s="199">
        <v>0</v>
      </c>
      <c r="N44" s="199">
        <v>0</v>
      </c>
      <c r="O44" s="199">
        <v>1170</v>
      </c>
      <c r="P44" s="18">
        <v>798.6</v>
      </c>
      <c r="Q44" s="18">
        <f t="shared" si="3"/>
        <v>1968.6</v>
      </c>
      <c r="R44" s="17">
        <f>(17*B6)</f>
        <v>8500</v>
      </c>
      <c r="S44" s="18">
        <f t="shared" si="4"/>
        <v>6531.4</v>
      </c>
      <c r="T44" s="199">
        <v>0</v>
      </c>
      <c r="U44" s="199">
        <v>0</v>
      </c>
      <c r="V44" s="19">
        <v>0</v>
      </c>
      <c r="W44" s="19">
        <f t="shared" si="5"/>
        <v>0</v>
      </c>
      <c r="X44" s="19"/>
      <c r="Y44" s="19">
        <f>-W44</f>
        <v>0</v>
      </c>
      <c r="Z44" s="199"/>
      <c r="AA44" s="198"/>
      <c r="AB44" s="18">
        <f t="shared" si="6"/>
        <v>0</v>
      </c>
      <c r="AC44" s="100">
        <f t="shared" si="7"/>
        <v>0</v>
      </c>
      <c r="AD44" s="109">
        <f t="shared" si="8"/>
        <v>4551.8999999999996</v>
      </c>
      <c r="AE44" s="103"/>
      <c r="AF44" s="17"/>
      <c r="AG44" s="17"/>
      <c r="AH44" s="199">
        <f t="shared" si="9"/>
        <v>3659.5</v>
      </c>
      <c r="AI44" s="199">
        <f t="shared" si="0"/>
        <v>3659.5</v>
      </c>
      <c r="AJ44" s="199">
        <v>3236.1</v>
      </c>
      <c r="AK44" s="199">
        <f t="shared" si="10"/>
        <v>423.40000000000009</v>
      </c>
      <c r="AL44" s="199" t="s">
        <v>43</v>
      </c>
      <c r="AM44" s="199"/>
      <c r="AN44" s="199"/>
      <c r="AO44" s="199">
        <f t="shared" si="11"/>
        <v>0</v>
      </c>
      <c r="AP44" s="196"/>
      <c r="AQ44" s="196"/>
      <c r="AR44" s="196"/>
      <c r="AS44" s="196"/>
    </row>
    <row r="45" spans="1:45" s="197" customFormat="1">
      <c r="A45" s="194" t="s">
        <v>76</v>
      </c>
      <c r="B45" s="17">
        <v>100</v>
      </c>
      <c r="C45" s="194">
        <v>92</v>
      </c>
      <c r="D45" s="17">
        <v>53</v>
      </c>
      <c r="E45" s="18">
        <v>53</v>
      </c>
      <c r="F45" s="199">
        <v>2489.5</v>
      </c>
      <c r="G45" s="17">
        <v>2490</v>
      </c>
      <c r="H45" s="17">
        <f t="shared" si="1"/>
        <v>4979.5</v>
      </c>
      <c r="I45" s="17">
        <v>3000</v>
      </c>
      <c r="J45" s="17">
        <f t="shared" si="2"/>
        <v>-1979.5</v>
      </c>
      <c r="K45" s="199">
        <v>223</v>
      </c>
      <c r="L45" s="199">
        <v>2899</v>
      </c>
      <c r="M45" s="199">
        <v>5</v>
      </c>
      <c r="N45" s="199">
        <v>15.5</v>
      </c>
      <c r="O45" s="199">
        <v>2914.5</v>
      </c>
      <c r="P45" s="18">
        <v>2196.4</v>
      </c>
      <c r="Q45" s="18">
        <f t="shared" si="3"/>
        <v>5110.8999999999996</v>
      </c>
      <c r="R45" s="17">
        <f>(25*B6)+(25*C6)+(3*D6)</f>
        <v>23100</v>
      </c>
      <c r="S45" s="18">
        <f t="shared" si="4"/>
        <v>17989.099999999999</v>
      </c>
      <c r="T45" s="199">
        <v>47.5</v>
      </c>
      <c r="U45" s="199">
        <v>1567.5</v>
      </c>
      <c r="V45" s="19">
        <v>1485</v>
      </c>
      <c r="W45" s="19">
        <f t="shared" si="5"/>
        <v>3052.5</v>
      </c>
      <c r="X45" s="19"/>
      <c r="Y45" s="19">
        <f>-W45*Y11</f>
        <v>-3052.5</v>
      </c>
      <c r="Z45" s="199"/>
      <c r="AA45" s="198">
        <v>0</v>
      </c>
      <c r="AB45" s="18">
        <f t="shared" si="6"/>
        <v>0</v>
      </c>
      <c r="AC45" s="100">
        <f t="shared" si="7"/>
        <v>0</v>
      </c>
      <c r="AD45" s="108">
        <f t="shared" si="8"/>
        <v>12957.099999999999</v>
      </c>
      <c r="AE45" s="103">
        <f>E45</f>
        <v>53</v>
      </c>
      <c r="AF45" s="22"/>
      <c r="AG45" s="22"/>
      <c r="AH45" s="199">
        <f t="shared" si="9"/>
        <v>5404</v>
      </c>
      <c r="AI45" s="199">
        <f t="shared" si="0"/>
        <v>6971.5</v>
      </c>
      <c r="AJ45" s="199">
        <v>7602.5</v>
      </c>
      <c r="AK45" s="199">
        <f t="shared" si="10"/>
        <v>-631</v>
      </c>
      <c r="AL45" s="199" t="s">
        <v>43</v>
      </c>
      <c r="AM45" s="199"/>
      <c r="AN45" s="199"/>
      <c r="AO45" s="199">
        <f t="shared" si="11"/>
        <v>0</v>
      </c>
      <c r="AP45" s="196"/>
      <c r="AQ45" s="196"/>
      <c r="AR45" s="196"/>
      <c r="AS45" s="196"/>
    </row>
    <row r="46" spans="1:45" s="197" customFormat="1" ht="30">
      <c r="A46" s="224" t="s">
        <v>77</v>
      </c>
      <c r="B46" s="17"/>
      <c r="C46" s="206"/>
      <c r="D46" s="17"/>
      <c r="E46" s="18"/>
      <c r="F46" s="199"/>
      <c r="G46" s="22"/>
      <c r="H46" s="17">
        <f t="shared" si="1"/>
        <v>0</v>
      </c>
      <c r="I46" s="17"/>
      <c r="J46" s="17">
        <f t="shared" si="2"/>
        <v>0</v>
      </c>
      <c r="K46" s="199"/>
      <c r="L46" s="199"/>
      <c r="M46" s="199"/>
      <c r="N46" s="199"/>
      <c r="O46" s="199"/>
      <c r="P46" s="130"/>
      <c r="Q46" s="18">
        <f t="shared" si="3"/>
        <v>0</v>
      </c>
      <c r="R46" s="17">
        <f t="shared" si="14"/>
        <v>0</v>
      </c>
      <c r="S46" s="18">
        <f t="shared" si="4"/>
        <v>0</v>
      </c>
      <c r="T46" s="199"/>
      <c r="U46" s="199"/>
      <c r="V46" s="132"/>
      <c r="W46" s="19">
        <f t="shared" si="5"/>
        <v>0</v>
      </c>
      <c r="X46" s="19"/>
      <c r="Y46" s="19">
        <f>-W46</f>
        <v>0</v>
      </c>
      <c r="Z46" s="199"/>
      <c r="AA46" s="206"/>
      <c r="AB46" s="18">
        <f t="shared" si="6"/>
        <v>0</v>
      </c>
      <c r="AC46" s="100">
        <f t="shared" si="7"/>
        <v>0</v>
      </c>
      <c r="AD46" s="109">
        <f t="shared" si="8"/>
        <v>0</v>
      </c>
      <c r="AE46" s="103">
        <f>E46</f>
        <v>0</v>
      </c>
      <c r="AF46" s="17"/>
      <c r="AG46" s="17"/>
      <c r="AH46" s="199">
        <f t="shared" si="9"/>
        <v>0</v>
      </c>
      <c r="AI46" s="199">
        <f t="shared" si="0"/>
        <v>0</v>
      </c>
      <c r="AJ46" s="199">
        <v>0</v>
      </c>
      <c r="AK46" s="199">
        <f t="shared" si="10"/>
        <v>0</v>
      </c>
      <c r="AL46" s="199"/>
      <c r="AM46" s="199"/>
      <c r="AN46" s="199"/>
      <c r="AO46" s="199">
        <f t="shared" si="11"/>
        <v>0</v>
      </c>
      <c r="AP46" s="196"/>
      <c r="AQ46" s="196"/>
      <c r="AR46" s="196"/>
      <c r="AS46" s="196"/>
    </row>
    <row r="47" spans="1:45" s="197" customFormat="1">
      <c r="A47" s="194" t="s">
        <v>78</v>
      </c>
      <c r="B47" s="17">
        <v>107</v>
      </c>
      <c r="C47" s="194">
        <v>126</v>
      </c>
      <c r="D47" s="17">
        <v>83</v>
      </c>
      <c r="E47" s="18">
        <v>77.570093457943926</v>
      </c>
      <c r="F47" s="199">
        <v>2489.5</v>
      </c>
      <c r="G47" s="17">
        <v>2490</v>
      </c>
      <c r="H47" s="17">
        <f t="shared" si="1"/>
        <v>4979.5</v>
      </c>
      <c r="I47" s="17">
        <v>3000</v>
      </c>
      <c r="J47" s="17">
        <f t="shared" si="2"/>
        <v>-1979.5</v>
      </c>
      <c r="K47" s="199">
        <v>505</v>
      </c>
      <c r="L47" s="199">
        <v>6565</v>
      </c>
      <c r="M47" s="199">
        <v>23</v>
      </c>
      <c r="N47" s="199">
        <v>71.3</v>
      </c>
      <c r="O47" s="199">
        <v>6636.3</v>
      </c>
      <c r="P47" s="18">
        <v>6230.2</v>
      </c>
      <c r="Q47" s="18">
        <f t="shared" si="3"/>
        <v>12866.5</v>
      </c>
      <c r="R47" s="17">
        <f>(25*B6)+(25*C6)+(33*D6)</f>
        <v>29100</v>
      </c>
      <c r="S47" s="18">
        <f t="shared" si="4"/>
        <v>16233.5</v>
      </c>
      <c r="T47" s="199">
        <v>0</v>
      </c>
      <c r="U47" s="199">
        <v>0</v>
      </c>
      <c r="V47" s="19">
        <v>0</v>
      </c>
      <c r="W47" s="19">
        <f t="shared" si="5"/>
        <v>0</v>
      </c>
      <c r="X47" s="19"/>
      <c r="Y47" s="19">
        <f>-W47</f>
        <v>0</v>
      </c>
      <c r="Z47" s="199"/>
      <c r="AA47" s="198"/>
      <c r="AB47" s="18">
        <f t="shared" si="6"/>
        <v>0</v>
      </c>
      <c r="AC47" s="100">
        <f t="shared" si="7"/>
        <v>0</v>
      </c>
      <c r="AD47" s="109">
        <f t="shared" si="8"/>
        <v>14254</v>
      </c>
      <c r="AE47" s="103"/>
      <c r="AF47" s="17"/>
      <c r="AG47" s="17"/>
      <c r="AH47" s="199">
        <f t="shared" si="9"/>
        <v>9125.7999999999993</v>
      </c>
      <c r="AI47" s="199">
        <f t="shared" si="0"/>
        <v>9125.7999999999993</v>
      </c>
      <c r="AJ47" s="199">
        <v>7014.8</v>
      </c>
      <c r="AK47" s="199">
        <f t="shared" si="10"/>
        <v>2110.9999999999991</v>
      </c>
      <c r="AL47" s="199" t="s">
        <v>79</v>
      </c>
      <c r="AM47" s="199"/>
      <c r="AN47" s="199"/>
      <c r="AO47" s="199">
        <f t="shared" si="11"/>
        <v>0</v>
      </c>
      <c r="AP47" s="196"/>
      <c r="AQ47" s="196"/>
      <c r="AR47" s="196"/>
      <c r="AS47" s="196"/>
    </row>
    <row r="48" spans="1:45" s="197" customFormat="1">
      <c r="A48" s="194" t="s">
        <v>80</v>
      </c>
      <c r="B48" s="17">
        <v>153</v>
      </c>
      <c r="C48" s="194">
        <v>113</v>
      </c>
      <c r="D48" s="17">
        <v>109</v>
      </c>
      <c r="E48" s="18">
        <v>71.24183006535948</v>
      </c>
      <c r="F48" s="199">
        <v>2489.5</v>
      </c>
      <c r="G48" s="17">
        <v>2490</v>
      </c>
      <c r="H48" s="17">
        <f t="shared" si="1"/>
        <v>4979.5</v>
      </c>
      <c r="I48" s="17">
        <v>3000</v>
      </c>
      <c r="J48" s="17">
        <f t="shared" si="2"/>
        <v>-1979.5</v>
      </c>
      <c r="K48" s="199">
        <v>597</v>
      </c>
      <c r="L48" s="199">
        <v>7761</v>
      </c>
      <c r="M48" s="199">
        <v>24</v>
      </c>
      <c r="N48" s="199">
        <v>74.400000000000006</v>
      </c>
      <c r="O48" s="199">
        <v>7835.4</v>
      </c>
      <c r="P48" s="18">
        <v>6589.2</v>
      </c>
      <c r="Q48" s="18">
        <f t="shared" si="3"/>
        <v>14424.599999999999</v>
      </c>
      <c r="R48" s="17">
        <f>(25*B6)+(25*C6)+(50*D6)+(9*Q6)</f>
        <v>33400</v>
      </c>
      <c r="S48" s="18">
        <f t="shared" si="4"/>
        <v>18975.400000000001</v>
      </c>
      <c r="T48" s="199">
        <v>0</v>
      </c>
      <c r="U48" s="199">
        <v>0</v>
      </c>
      <c r="V48" s="19">
        <v>0</v>
      </c>
      <c r="W48" s="19">
        <f t="shared" si="5"/>
        <v>0</v>
      </c>
      <c r="X48" s="19"/>
      <c r="Y48" s="19">
        <f>-W48</f>
        <v>0</v>
      </c>
      <c r="Z48" s="199"/>
      <c r="AA48" s="198"/>
      <c r="AB48" s="18">
        <f t="shared" si="6"/>
        <v>0</v>
      </c>
      <c r="AC48" s="100">
        <f t="shared" si="7"/>
        <v>0</v>
      </c>
      <c r="AD48" s="109">
        <f t="shared" si="8"/>
        <v>16995.900000000001</v>
      </c>
      <c r="AE48" s="103"/>
      <c r="AF48" s="17"/>
      <c r="AG48" s="17"/>
      <c r="AH48" s="199">
        <f t="shared" si="9"/>
        <v>10324.9</v>
      </c>
      <c r="AI48" s="199">
        <f t="shared" si="0"/>
        <v>10324.9</v>
      </c>
      <c r="AJ48" s="199">
        <v>9745.5</v>
      </c>
      <c r="AK48" s="199">
        <f t="shared" si="10"/>
        <v>579.39999999999964</v>
      </c>
      <c r="AL48" s="199" t="s">
        <v>43</v>
      </c>
      <c r="AM48" s="199">
        <v>50878.14</v>
      </c>
      <c r="AN48" s="199">
        <v>3626</v>
      </c>
      <c r="AO48" s="199">
        <f t="shared" si="11"/>
        <v>54504.14</v>
      </c>
      <c r="AP48" s="196"/>
      <c r="AQ48" s="196"/>
      <c r="AR48" s="196"/>
      <c r="AS48" s="196"/>
    </row>
    <row r="49" spans="1:45" s="197" customFormat="1">
      <c r="A49" s="194" t="s">
        <v>81</v>
      </c>
      <c r="B49" s="17">
        <v>149</v>
      </c>
      <c r="C49" s="194">
        <v>141</v>
      </c>
      <c r="D49" s="17">
        <v>76</v>
      </c>
      <c r="E49" s="18">
        <v>51.006711409395976</v>
      </c>
      <c r="F49" s="199">
        <v>2489.5</v>
      </c>
      <c r="G49" s="17">
        <v>2490</v>
      </c>
      <c r="H49" s="17">
        <f t="shared" si="1"/>
        <v>4979.5</v>
      </c>
      <c r="I49" s="17">
        <v>3000</v>
      </c>
      <c r="J49" s="17">
        <f t="shared" si="2"/>
        <v>-1979.5</v>
      </c>
      <c r="K49" s="199">
        <v>409</v>
      </c>
      <c r="L49" s="199">
        <v>5317</v>
      </c>
      <c r="M49" s="199">
        <v>42</v>
      </c>
      <c r="N49" s="199">
        <v>130.20000000000002</v>
      </c>
      <c r="O49" s="199">
        <v>5447.2</v>
      </c>
      <c r="P49" s="18">
        <v>5085</v>
      </c>
      <c r="Q49" s="18">
        <f t="shared" si="3"/>
        <v>10532.2</v>
      </c>
      <c r="R49" s="17">
        <f>(25*B6)+(25*C6)+(26*D6)</f>
        <v>27700</v>
      </c>
      <c r="S49" s="18">
        <f t="shared" si="4"/>
        <v>17167.8</v>
      </c>
      <c r="T49" s="199">
        <v>34.5</v>
      </c>
      <c r="U49" s="199">
        <v>1138.5</v>
      </c>
      <c r="V49" s="19">
        <v>1485</v>
      </c>
      <c r="W49" s="19">
        <f t="shared" si="5"/>
        <v>2623.5</v>
      </c>
      <c r="X49" s="19"/>
      <c r="Y49" s="19">
        <f>-W49*Y11</f>
        <v>-2623.5</v>
      </c>
      <c r="Z49" s="199"/>
      <c r="AA49" s="198"/>
      <c r="AB49" s="18">
        <f t="shared" si="6"/>
        <v>0</v>
      </c>
      <c r="AC49" s="100">
        <f t="shared" si="7"/>
        <v>0</v>
      </c>
      <c r="AD49" s="108">
        <f t="shared" si="8"/>
        <v>12564.8</v>
      </c>
      <c r="AE49" s="103">
        <f>E49</f>
        <v>51.006711409395976</v>
      </c>
      <c r="AF49" s="22"/>
      <c r="AG49" s="22"/>
      <c r="AH49" s="199">
        <f t="shared" si="9"/>
        <v>7936.7</v>
      </c>
      <c r="AI49" s="199">
        <f t="shared" si="0"/>
        <v>9075.2000000000007</v>
      </c>
      <c r="AJ49" s="199">
        <v>9457.9</v>
      </c>
      <c r="AK49" s="199">
        <f t="shared" si="10"/>
        <v>-382.69999999999891</v>
      </c>
      <c r="AL49" s="199"/>
      <c r="AM49" s="199"/>
      <c r="AN49" s="199"/>
      <c r="AO49" s="199">
        <f t="shared" si="11"/>
        <v>0</v>
      </c>
      <c r="AP49" s="196"/>
      <c r="AQ49" s="196"/>
      <c r="AR49" s="196"/>
      <c r="AS49" s="196"/>
    </row>
    <row r="50" spans="1:45" s="197" customFormat="1">
      <c r="A50" s="194" t="s">
        <v>82</v>
      </c>
      <c r="B50" s="17">
        <v>261</v>
      </c>
      <c r="C50" s="194">
        <v>244</v>
      </c>
      <c r="D50" s="17">
        <v>70</v>
      </c>
      <c r="E50" s="18">
        <v>26.819923371647509</v>
      </c>
      <c r="F50" s="199">
        <v>2489.5</v>
      </c>
      <c r="G50" s="17">
        <v>2490</v>
      </c>
      <c r="H50" s="17">
        <f t="shared" si="1"/>
        <v>4979.5</v>
      </c>
      <c r="I50" s="17">
        <v>3000</v>
      </c>
      <c r="J50" s="17">
        <f t="shared" si="2"/>
        <v>-1979.5</v>
      </c>
      <c r="K50" s="199">
        <v>366</v>
      </c>
      <c r="L50" s="199">
        <v>4758</v>
      </c>
      <c r="M50" s="199">
        <v>54</v>
      </c>
      <c r="N50" s="199">
        <v>167.4</v>
      </c>
      <c r="O50" s="199">
        <v>4925.3999999999996</v>
      </c>
      <c r="P50" s="18">
        <v>5512.2</v>
      </c>
      <c r="Q50" s="18">
        <f t="shared" si="3"/>
        <v>10437.599999999999</v>
      </c>
      <c r="R50" s="17">
        <f>(25*B6)+(25*C6)+(20*D6)</f>
        <v>26500</v>
      </c>
      <c r="S50" s="18">
        <f t="shared" si="4"/>
        <v>16062.400000000001</v>
      </c>
      <c r="T50" s="199">
        <v>0</v>
      </c>
      <c r="U50" s="199">
        <v>0</v>
      </c>
      <c r="V50" s="19">
        <v>0</v>
      </c>
      <c r="W50" s="19">
        <f t="shared" si="5"/>
        <v>0</v>
      </c>
      <c r="X50" s="19"/>
      <c r="Y50" s="19">
        <f>-W50</f>
        <v>0</v>
      </c>
      <c r="Z50" s="199">
        <f>[2]Svømmetimetilskud!J6</f>
        <v>2142.1181555980361</v>
      </c>
      <c r="AA50" s="203">
        <v>2074.9364639691153</v>
      </c>
      <c r="AB50" s="18">
        <f t="shared" si="6"/>
        <v>4217.0546195671513</v>
      </c>
      <c r="AC50" s="100">
        <f>-AB50/2</f>
        <v>-2108.5273097835757</v>
      </c>
      <c r="AD50" s="108">
        <f t="shared" si="8"/>
        <v>11974.372690216425</v>
      </c>
      <c r="AE50" s="103"/>
      <c r="AF50" s="22"/>
      <c r="AG50" s="22"/>
      <c r="AH50" s="199">
        <f t="shared" si="9"/>
        <v>7414.9</v>
      </c>
      <c r="AI50" s="199">
        <f t="shared" si="0"/>
        <v>7414.9</v>
      </c>
      <c r="AJ50" s="199">
        <v>7459.3</v>
      </c>
      <c r="AK50" s="199">
        <f t="shared" si="10"/>
        <v>-44.400000000000546</v>
      </c>
      <c r="AL50" s="199" t="s">
        <v>43</v>
      </c>
      <c r="AM50" s="199">
        <v>8546.9599999999991</v>
      </c>
      <c r="AN50" s="199"/>
      <c r="AO50" s="199">
        <f t="shared" si="11"/>
        <v>8546.9599999999991</v>
      </c>
      <c r="AP50" s="196"/>
      <c r="AQ50" s="196"/>
      <c r="AR50" s="196"/>
      <c r="AS50" s="196"/>
    </row>
    <row r="51" spans="1:45" s="197" customFormat="1">
      <c r="A51" s="194" t="s">
        <v>83</v>
      </c>
      <c r="B51" s="11">
        <v>13</v>
      </c>
      <c r="C51" s="194">
        <v>12</v>
      </c>
      <c r="D51" s="11">
        <v>13</v>
      </c>
      <c r="E51" s="23">
        <v>100</v>
      </c>
      <c r="F51" s="195">
        <v>2489.5</v>
      </c>
      <c r="G51" s="17">
        <v>2490</v>
      </c>
      <c r="H51" s="17">
        <f t="shared" si="1"/>
        <v>4979.5</v>
      </c>
      <c r="I51" s="17">
        <v>3000</v>
      </c>
      <c r="J51" s="17">
        <f t="shared" si="2"/>
        <v>-1979.5</v>
      </c>
      <c r="K51" s="199">
        <v>61</v>
      </c>
      <c r="L51" s="199">
        <v>793</v>
      </c>
      <c r="M51" s="199">
        <v>0</v>
      </c>
      <c r="N51" s="199">
        <v>0</v>
      </c>
      <c r="O51" s="199">
        <v>793</v>
      </c>
      <c r="P51" s="18">
        <v>624</v>
      </c>
      <c r="Q51" s="18">
        <f t="shared" si="3"/>
        <v>1417</v>
      </c>
      <c r="R51" s="17">
        <f>(13*B6)</f>
        <v>6500</v>
      </c>
      <c r="S51" s="18">
        <f t="shared" si="4"/>
        <v>5083</v>
      </c>
      <c r="T51" s="199">
        <v>258</v>
      </c>
      <c r="U51" s="199">
        <v>8514</v>
      </c>
      <c r="V51" s="19">
        <v>6600</v>
      </c>
      <c r="W51" s="19">
        <f t="shared" si="5"/>
        <v>15114</v>
      </c>
      <c r="X51" s="19">
        <f>W51/33</f>
        <v>458</v>
      </c>
      <c r="Y51" s="19">
        <f>-W51*Y11</f>
        <v>-15114</v>
      </c>
      <c r="Z51" s="199"/>
      <c r="AA51" s="198"/>
      <c r="AB51" s="18">
        <f t="shared" si="6"/>
        <v>0</v>
      </c>
      <c r="AC51" s="100">
        <f t="shared" si="7"/>
        <v>0</v>
      </c>
      <c r="AD51" s="109">
        <f>J51+S51+Y51+AC51+AG51</f>
        <v>109.40764557004877</v>
      </c>
      <c r="AE51" s="103">
        <f>E51</f>
        <v>100</v>
      </c>
      <c r="AF51" s="17">
        <f>X51*AE51/100</f>
        <v>458</v>
      </c>
      <c r="AG51" s="17">
        <f>AF51*AG11/AF67</f>
        <v>12119.907645570049</v>
      </c>
      <c r="AH51" s="199">
        <f t="shared" si="9"/>
        <v>3282.5</v>
      </c>
      <c r="AI51" s="199">
        <f t="shared" si="0"/>
        <v>11796.5</v>
      </c>
      <c r="AJ51" s="199">
        <v>11795.5</v>
      </c>
      <c r="AK51" s="199">
        <f t="shared" si="10"/>
        <v>1</v>
      </c>
      <c r="AL51" s="199"/>
      <c r="AM51" s="199"/>
      <c r="AN51" s="199"/>
      <c r="AO51" s="199">
        <f t="shared" si="11"/>
        <v>0</v>
      </c>
      <c r="AP51" s="196"/>
      <c r="AQ51" s="196"/>
      <c r="AR51" s="196"/>
      <c r="AS51" s="196"/>
    </row>
    <row r="52" spans="1:45" s="197" customFormat="1">
      <c r="A52" s="194" t="s">
        <v>84</v>
      </c>
      <c r="B52" s="11">
        <v>11</v>
      </c>
      <c r="C52" s="194">
        <v>13</v>
      </c>
      <c r="D52" s="11">
        <v>10</v>
      </c>
      <c r="E52" s="23">
        <v>90.909090909090907</v>
      </c>
      <c r="F52" s="195">
        <v>2489.5</v>
      </c>
      <c r="G52" s="17">
        <v>2490</v>
      </c>
      <c r="H52" s="17">
        <f t="shared" si="1"/>
        <v>4979.5</v>
      </c>
      <c r="I52" s="17">
        <v>3000</v>
      </c>
      <c r="J52" s="17">
        <f t="shared" si="2"/>
        <v>-1979.5</v>
      </c>
      <c r="K52" s="199">
        <v>58</v>
      </c>
      <c r="L52" s="199">
        <v>754</v>
      </c>
      <c r="M52" s="199">
        <v>2</v>
      </c>
      <c r="N52" s="199">
        <v>6.2</v>
      </c>
      <c r="O52" s="199">
        <v>760.2</v>
      </c>
      <c r="P52" s="18">
        <v>858</v>
      </c>
      <c r="Q52" s="18">
        <f t="shared" si="3"/>
        <v>1618.2</v>
      </c>
      <c r="R52" s="17">
        <f>(10*B6)</f>
        <v>5000</v>
      </c>
      <c r="S52" s="18">
        <f t="shared" si="4"/>
        <v>3381.8</v>
      </c>
      <c r="T52" s="199">
        <v>0</v>
      </c>
      <c r="U52" s="199">
        <v>0</v>
      </c>
      <c r="V52" s="19">
        <v>0</v>
      </c>
      <c r="W52" s="19">
        <f t="shared" si="5"/>
        <v>0</v>
      </c>
      <c r="X52" s="19"/>
      <c r="Y52" s="19">
        <f>-W52</f>
        <v>0</v>
      </c>
      <c r="Z52" s="199"/>
      <c r="AA52" s="198"/>
      <c r="AB52" s="18">
        <f t="shared" si="6"/>
        <v>0</v>
      </c>
      <c r="AC52" s="100">
        <f t="shared" si="7"/>
        <v>0</v>
      </c>
      <c r="AD52" s="109">
        <f t="shared" si="8"/>
        <v>1402.3000000000002</v>
      </c>
      <c r="AE52" s="103"/>
      <c r="AF52" s="17"/>
      <c r="AG52" s="17"/>
      <c r="AH52" s="199">
        <f t="shared" si="9"/>
        <v>3249.7</v>
      </c>
      <c r="AI52" s="199">
        <f t="shared" si="0"/>
        <v>3249.7</v>
      </c>
      <c r="AJ52" s="199">
        <v>3269.5</v>
      </c>
      <c r="AK52" s="199">
        <f t="shared" si="10"/>
        <v>-19.800000000000182</v>
      </c>
      <c r="AL52" s="199"/>
      <c r="AM52" s="199"/>
      <c r="AN52" s="199"/>
      <c r="AO52" s="199">
        <f t="shared" si="11"/>
        <v>0</v>
      </c>
      <c r="AP52" s="196"/>
      <c r="AQ52" s="196"/>
      <c r="AR52" s="196"/>
      <c r="AS52" s="196"/>
    </row>
    <row r="53" spans="1:45" s="197" customFormat="1">
      <c r="A53" s="194" t="s">
        <v>85</v>
      </c>
      <c r="B53" s="17"/>
      <c r="C53" s="194">
        <v>31</v>
      </c>
      <c r="D53" s="17"/>
      <c r="E53" s="18"/>
      <c r="F53" s="199"/>
      <c r="G53" s="17">
        <v>2490</v>
      </c>
      <c r="H53" s="17">
        <f t="shared" si="1"/>
        <v>2490</v>
      </c>
      <c r="I53" s="17">
        <v>3000</v>
      </c>
      <c r="J53" s="17">
        <f t="shared" si="2"/>
        <v>510</v>
      </c>
      <c r="K53" s="199"/>
      <c r="L53" s="199"/>
      <c r="M53" s="199"/>
      <c r="N53" s="199"/>
      <c r="O53" s="199"/>
      <c r="P53" s="18">
        <v>1612</v>
      </c>
      <c r="Q53" s="18">
        <f t="shared" si="3"/>
        <v>1612</v>
      </c>
      <c r="R53" s="17">
        <f t="shared" si="14"/>
        <v>0</v>
      </c>
      <c r="S53" s="18">
        <f t="shared" si="4"/>
        <v>-1612</v>
      </c>
      <c r="T53" s="199"/>
      <c r="U53" s="199"/>
      <c r="V53" s="19">
        <v>0</v>
      </c>
      <c r="W53" s="19">
        <f t="shared" si="5"/>
        <v>0</v>
      </c>
      <c r="X53" s="19"/>
      <c r="Y53" s="19">
        <f>-W53</f>
        <v>0</v>
      </c>
      <c r="Z53" s="199"/>
      <c r="AA53" s="198"/>
      <c r="AB53" s="18">
        <f t="shared" si="6"/>
        <v>0</v>
      </c>
      <c r="AC53" s="100">
        <f t="shared" si="7"/>
        <v>0</v>
      </c>
      <c r="AD53" s="109">
        <f t="shared" si="8"/>
        <v>-1102</v>
      </c>
      <c r="AE53" s="103"/>
      <c r="AF53" s="17"/>
      <c r="AG53" s="17"/>
      <c r="AH53" s="199">
        <f t="shared" si="9"/>
        <v>0</v>
      </c>
      <c r="AI53" s="199">
        <f t="shared" si="0"/>
        <v>0</v>
      </c>
      <c r="AJ53" s="199">
        <v>4153.5</v>
      </c>
      <c r="AK53" s="199">
        <f t="shared" si="10"/>
        <v>-4153.5</v>
      </c>
      <c r="AL53" s="199"/>
      <c r="AM53" s="199"/>
      <c r="AN53" s="199"/>
      <c r="AO53" s="199">
        <f t="shared" si="11"/>
        <v>0</v>
      </c>
      <c r="AP53" s="196"/>
      <c r="AQ53" s="196"/>
      <c r="AR53" s="196"/>
      <c r="AS53" s="196"/>
    </row>
    <row r="54" spans="1:45" s="197" customFormat="1">
      <c r="A54" s="194" t="s">
        <v>86</v>
      </c>
      <c r="B54" s="17">
        <v>522</v>
      </c>
      <c r="C54" s="194">
        <v>537</v>
      </c>
      <c r="D54" s="17">
        <v>371</v>
      </c>
      <c r="E54" s="18">
        <v>71.072796934865906</v>
      </c>
      <c r="F54" s="194">
        <v>4980</v>
      </c>
      <c r="G54" s="17">
        <v>4980</v>
      </c>
      <c r="H54" s="17">
        <f t="shared" si="1"/>
        <v>9960</v>
      </c>
      <c r="I54" s="17">
        <v>3000</v>
      </c>
      <c r="J54" s="17">
        <f t="shared" si="2"/>
        <v>-6960</v>
      </c>
      <c r="K54" s="194">
        <v>1298</v>
      </c>
      <c r="L54" s="194">
        <v>16874</v>
      </c>
      <c r="M54" s="194">
        <v>8</v>
      </c>
      <c r="N54" s="194">
        <v>24.8</v>
      </c>
      <c r="O54" s="194">
        <v>16898.8</v>
      </c>
      <c r="P54" s="18">
        <v>17175.3</v>
      </c>
      <c r="Q54" s="18">
        <f t="shared" si="3"/>
        <v>34074.1</v>
      </c>
      <c r="R54" s="17">
        <f>(25*B6)+(25*C6)+(50*D6)+(100*Q6)+(171*R6)</f>
        <v>51050</v>
      </c>
      <c r="S54" s="18">
        <f t="shared" si="4"/>
        <v>16975.900000000001</v>
      </c>
      <c r="T54" s="194">
        <v>16</v>
      </c>
      <c r="U54" s="194">
        <v>528</v>
      </c>
      <c r="V54" s="19">
        <v>0</v>
      </c>
      <c r="W54" s="19">
        <f t="shared" si="5"/>
        <v>528</v>
      </c>
      <c r="X54" s="19"/>
      <c r="Y54" s="19">
        <f>-W54*Y11</f>
        <v>-528</v>
      </c>
      <c r="Z54" s="194"/>
      <c r="AA54" s="198">
        <v>0</v>
      </c>
      <c r="AB54" s="18">
        <f t="shared" si="6"/>
        <v>0</v>
      </c>
      <c r="AC54" s="100">
        <f t="shared" si="7"/>
        <v>0</v>
      </c>
      <c r="AD54" s="108">
        <f t="shared" si="8"/>
        <v>9487.9000000000015</v>
      </c>
      <c r="AE54" s="103">
        <f>E54</f>
        <v>71.072796934865906</v>
      </c>
      <c r="AF54" s="22"/>
      <c r="AG54" s="22"/>
      <c r="AH54" s="199">
        <f t="shared" si="9"/>
        <v>21878.799999999999</v>
      </c>
      <c r="AI54" s="199">
        <f t="shared" si="0"/>
        <v>22406.799999999999</v>
      </c>
      <c r="AJ54" s="199">
        <v>21876.3</v>
      </c>
      <c r="AK54" s="199">
        <f t="shared" si="10"/>
        <v>530.5</v>
      </c>
      <c r="AL54" s="199" t="s">
        <v>43</v>
      </c>
      <c r="AM54" s="148">
        <v>35124.699999999997</v>
      </c>
      <c r="AN54" s="199"/>
      <c r="AO54" s="199">
        <f t="shared" si="11"/>
        <v>35124.699999999997</v>
      </c>
      <c r="AP54" s="196"/>
      <c r="AQ54" s="196"/>
      <c r="AR54" s="207"/>
      <c r="AS54" s="196"/>
    </row>
    <row r="55" spans="1:45" s="197" customFormat="1">
      <c r="A55" s="194" t="s">
        <v>87</v>
      </c>
      <c r="B55" s="17">
        <v>71</v>
      </c>
      <c r="C55" s="194"/>
      <c r="D55" s="17">
        <v>21</v>
      </c>
      <c r="E55" s="18">
        <v>29.577464788732392</v>
      </c>
      <c r="F55" s="199">
        <v>2489.5</v>
      </c>
      <c r="G55" s="17"/>
      <c r="H55" s="17">
        <f t="shared" si="1"/>
        <v>2489.5</v>
      </c>
      <c r="I55" s="17">
        <v>3000</v>
      </c>
      <c r="J55" s="17">
        <f t="shared" si="2"/>
        <v>510.5</v>
      </c>
      <c r="K55" s="199">
        <v>90</v>
      </c>
      <c r="L55" s="199">
        <v>1170</v>
      </c>
      <c r="M55" s="199">
        <v>36</v>
      </c>
      <c r="N55" s="199">
        <v>111.60000000000001</v>
      </c>
      <c r="O55" s="199">
        <v>1281.5999999999999</v>
      </c>
      <c r="P55" s="18"/>
      <c r="Q55" s="18">
        <f t="shared" si="3"/>
        <v>1281.5999999999999</v>
      </c>
      <c r="R55" s="17">
        <f>(21*B6)</f>
        <v>10500</v>
      </c>
      <c r="S55" s="18">
        <f t="shared" si="4"/>
        <v>9218.4</v>
      </c>
      <c r="T55" s="199">
        <v>0</v>
      </c>
      <c r="U55" s="199">
        <v>0</v>
      </c>
      <c r="V55" s="19"/>
      <c r="W55" s="19">
        <f t="shared" si="5"/>
        <v>0</v>
      </c>
      <c r="X55" s="19"/>
      <c r="Y55" s="19">
        <f>-W55</f>
        <v>0</v>
      </c>
      <c r="Z55" s="199"/>
      <c r="AA55" s="198">
        <v>0</v>
      </c>
      <c r="AB55" s="18">
        <f t="shared" si="6"/>
        <v>0</v>
      </c>
      <c r="AC55" s="100">
        <f t="shared" si="7"/>
        <v>0</v>
      </c>
      <c r="AD55" s="109">
        <f t="shared" si="8"/>
        <v>9728.9</v>
      </c>
      <c r="AE55" s="103"/>
      <c r="AF55" s="17"/>
      <c r="AG55" s="17"/>
      <c r="AH55" s="199">
        <f t="shared" si="9"/>
        <v>3771.1</v>
      </c>
      <c r="AI55" s="199">
        <f t="shared" si="0"/>
        <v>3771.1</v>
      </c>
      <c r="AJ55" s="199">
        <v>3667.3</v>
      </c>
      <c r="AK55" s="199">
        <f t="shared" si="10"/>
        <v>103.79999999999973</v>
      </c>
      <c r="AL55" s="199" t="s">
        <v>43</v>
      </c>
      <c r="AM55" s="199"/>
      <c r="AN55" s="199"/>
      <c r="AO55" s="199">
        <f t="shared" si="11"/>
        <v>0</v>
      </c>
      <c r="AP55" s="196"/>
      <c r="AQ55" s="196"/>
      <c r="AR55" s="196"/>
      <c r="AS55" s="196"/>
    </row>
    <row r="56" spans="1:45" s="197" customFormat="1">
      <c r="A56" s="194" t="s">
        <v>88</v>
      </c>
      <c r="B56" s="11">
        <v>96</v>
      </c>
      <c r="C56" s="194">
        <v>73</v>
      </c>
      <c r="D56" s="11">
        <v>78</v>
      </c>
      <c r="E56" s="23">
        <v>81.25</v>
      </c>
      <c r="F56" s="194">
        <v>2489.5</v>
      </c>
      <c r="G56" s="17">
        <v>2490</v>
      </c>
      <c r="H56" s="17">
        <f t="shared" si="1"/>
        <v>4979.5</v>
      </c>
      <c r="I56" s="17">
        <v>3000</v>
      </c>
      <c r="J56" s="17">
        <f t="shared" si="2"/>
        <v>-1979.5</v>
      </c>
      <c r="K56" s="194">
        <v>401</v>
      </c>
      <c r="L56" s="194">
        <v>5213</v>
      </c>
      <c r="M56" s="194">
        <v>12</v>
      </c>
      <c r="N56" s="194">
        <v>37.200000000000003</v>
      </c>
      <c r="O56" s="194">
        <v>5250.2</v>
      </c>
      <c r="P56" s="18">
        <v>4047.4</v>
      </c>
      <c r="Q56" s="18">
        <f t="shared" si="3"/>
        <v>9297.6</v>
      </c>
      <c r="R56" s="17">
        <f>(25*B6)+(25*C6)+(28*D6)</f>
        <v>28100</v>
      </c>
      <c r="S56" s="18">
        <f t="shared" si="4"/>
        <v>18802.400000000001</v>
      </c>
      <c r="T56" s="194">
        <v>0</v>
      </c>
      <c r="U56" s="194">
        <v>0</v>
      </c>
      <c r="V56" s="19">
        <v>0</v>
      </c>
      <c r="W56" s="19">
        <f t="shared" si="5"/>
        <v>0</v>
      </c>
      <c r="X56" s="19"/>
      <c r="Y56" s="19">
        <f>-W56</f>
        <v>0</v>
      </c>
      <c r="Z56" s="194"/>
      <c r="AA56" s="198"/>
      <c r="AB56" s="18">
        <f t="shared" si="6"/>
        <v>0</v>
      </c>
      <c r="AC56" s="100">
        <f t="shared" si="7"/>
        <v>0</v>
      </c>
      <c r="AD56" s="109">
        <f t="shared" si="8"/>
        <v>16822.900000000001</v>
      </c>
      <c r="AE56" s="103"/>
      <c r="AF56" s="17"/>
      <c r="AG56" s="17"/>
      <c r="AH56" s="199">
        <f t="shared" si="9"/>
        <v>7739.7</v>
      </c>
      <c r="AI56" s="199">
        <f t="shared" si="0"/>
        <v>7739.7</v>
      </c>
      <c r="AJ56" s="199">
        <v>7199.3</v>
      </c>
      <c r="AK56" s="199">
        <f t="shared" si="10"/>
        <v>540.39999999999964</v>
      </c>
      <c r="AL56" s="199"/>
      <c r="AM56" s="199"/>
      <c r="AN56" s="199"/>
      <c r="AO56" s="199">
        <f t="shared" si="11"/>
        <v>0</v>
      </c>
      <c r="AP56" s="196"/>
      <c r="AQ56" s="196"/>
      <c r="AR56" s="196"/>
      <c r="AS56" s="196"/>
    </row>
    <row r="57" spans="1:45" s="197" customFormat="1">
      <c r="A57" s="194" t="s">
        <v>89</v>
      </c>
      <c r="B57" s="17">
        <v>557</v>
      </c>
      <c r="C57" s="194">
        <v>631</v>
      </c>
      <c r="D57" s="17">
        <v>450</v>
      </c>
      <c r="E57" s="18">
        <v>80.789946140035909</v>
      </c>
      <c r="F57" s="199">
        <v>4980</v>
      </c>
      <c r="G57" s="17">
        <v>4980</v>
      </c>
      <c r="H57" s="17">
        <f t="shared" si="1"/>
        <v>9960</v>
      </c>
      <c r="I57" s="17">
        <v>3000</v>
      </c>
      <c r="J57" s="17">
        <f t="shared" si="2"/>
        <v>-6960</v>
      </c>
      <c r="K57" s="199">
        <v>2530</v>
      </c>
      <c r="L57" s="199">
        <v>32890</v>
      </c>
      <c r="M57" s="199">
        <v>142</v>
      </c>
      <c r="N57" s="199">
        <v>440.2</v>
      </c>
      <c r="O57" s="199">
        <v>33330.199999999997</v>
      </c>
      <c r="P57" s="18">
        <v>33472.400000000001</v>
      </c>
      <c r="Q57" s="18">
        <f t="shared" si="3"/>
        <v>66802.600000000006</v>
      </c>
      <c r="R57" s="17">
        <f>(25*B6)+(25*C6)+(50*D6)+(100*Q6)+(200*R6)+(50*S6)</f>
        <v>53750</v>
      </c>
      <c r="S57" s="18">
        <f t="shared" si="4"/>
        <v>-13052.600000000006</v>
      </c>
      <c r="T57" s="199">
        <v>277</v>
      </c>
      <c r="U57" s="199">
        <v>9141</v>
      </c>
      <c r="V57" s="19">
        <v>14421</v>
      </c>
      <c r="W57" s="19">
        <f t="shared" si="5"/>
        <v>23562</v>
      </c>
      <c r="X57" s="19"/>
      <c r="Y57" s="19">
        <f>-W57*Y11</f>
        <v>-23562</v>
      </c>
      <c r="Z57" s="199"/>
      <c r="AA57" s="198"/>
      <c r="AB57" s="18">
        <f t="shared" si="6"/>
        <v>0</v>
      </c>
      <c r="AC57" s="100">
        <f t="shared" si="7"/>
        <v>0</v>
      </c>
      <c r="AD57" s="108">
        <f t="shared" si="8"/>
        <v>-43574.600000000006</v>
      </c>
      <c r="AE57" s="103">
        <f>E57</f>
        <v>80.789946140035909</v>
      </c>
      <c r="AF57" s="22"/>
      <c r="AG57" s="22"/>
      <c r="AH57" s="199">
        <f t="shared" si="9"/>
        <v>38310.199999999997</v>
      </c>
      <c r="AI57" s="199">
        <f t="shared" si="0"/>
        <v>47451.199999999997</v>
      </c>
      <c r="AJ57" s="199">
        <v>44742.3</v>
      </c>
      <c r="AK57" s="199">
        <f t="shared" si="10"/>
        <v>2708.8999999999942</v>
      </c>
      <c r="AL57" s="199" t="s">
        <v>90</v>
      </c>
      <c r="AM57" s="199">
        <v>85400</v>
      </c>
      <c r="AN57" s="199"/>
      <c r="AO57" s="199">
        <f t="shared" si="11"/>
        <v>85400</v>
      </c>
      <c r="AP57" s="196"/>
      <c r="AQ57" s="196"/>
      <c r="AR57" s="196"/>
      <c r="AS57" s="196"/>
    </row>
    <row r="58" spans="1:45" s="197" customFormat="1">
      <c r="A58" s="194" t="s">
        <v>91</v>
      </c>
      <c r="B58" s="17"/>
      <c r="C58" s="194"/>
      <c r="D58" s="17"/>
      <c r="E58" s="18"/>
      <c r="F58" s="199"/>
      <c r="G58" s="17"/>
      <c r="H58" s="17">
        <f t="shared" si="1"/>
        <v>0</v>
      </c>
      <c r="I58" s="17"/>
      <c r="J58" s="17">
        <f t="shared" si="2"/>
        <v>0</v>
      </c>
      <c r="K58" s="199"/>
      <c r="L58" s="199"/>
      <c r="M58" s="199"/>
      <c r="N58" s="199"/>
      <c r="O58" s="199"/>
      <c r="P58" s="18"/>
      <c r="Q58" s="18">
        <f t="shared" si="3"/>
        <v>0</v>
      </c>
      <c r="R58" s="17">
        <f t="shared" si="14"/>
        <v>0</v>
      </c>
      <c r="S58" s="18">
        <f t="shared" si="4"/>
        <v>0</v>
      </c>
      <c r="T58" s="199"/>
      <c r="U58" s="199"/>
      <c r="V58" s="19"/>
      <c r="W58" s="19">
        <f t="shared" si="5"/>
        <v>0</v>
      </c>
      <c r="X58" s="19"/>
      <c r="Y58" s="19">
        <f t="shared" ref="Y58:Y64" si="16">-W58</f>
        <v>0</v>
      </c>
      <c r="Z58" s="199"/>
      <c r="AA58" s="198"/>
      <c r="AB58" s="18">
        <f t="shared" si="6"/>
        <v>0</v>
      </c>
      <c r="AC58" s="100">
        <f t="shared" si="7"/>
        <v>0</v>
      </c>
      <c r="AD58" s="109">
        <f t="shared" si="8"/>
        <v>0</v>
      </c>
      <c r="AE58" s="103"/>
      <c r="AF58" s="17"/>
      <c r="AG58" s="17"/>
      <c r="AH58" s="199">
        <f t="shared" si="9"/>
        <v>0</v>
      </c>
      <c r="AI58" s="199">
        <f t="shared" si="0"/>
        <v>0</v>
      </c>
      <c r="AJ58" s="199">
        <v>2489.5</v>
      </c>
      <c r="AK58" s="199">
        <f t="shared" si="10"/>
        <v>-2489.5</v>
      </c>
      <c r="AL58" s="199"/>
      <c r="AM58" s="199"/>
      <c r="AN58" s="199"/>
      <c r="AO58" s="199">
        <f t="shared" si="11"/>
        <v>0</v>
      </c>
      <c r="AP58" s="196"/>
      <c r="AQ58" s="196"/>
      <c r="AR58" s="196"/>
      <c r="AS58" s="196"/>
    </row>
    <row r="59" spans="1:45" s="197" customFormat="1">
      <c r="A59" s="194" t="s">
        <v>92</v>
      </c>
      <c r="B59" s="17">
        <v>615</v>
      </c>
      <c r="C59" s="194">
        <v>555</v>
      </c>
      <c r="D59" s="17">
        <v>216</v>
      </c>
      <c r="E59" s="18">
        <v>35.121951219512191</v>
      </c>
      <c r="F59" s="199">
        <v>4980</v>
      </c>
      <c r="G59" s="17">
        <v>4980</v>
      </c>
      <c r="H59" s="17">
        <f t="shared" si="1"/>
        <v>9960</v>
      </c>
      <c r="I59" s="17">
        <v>3000</v>
      </c>
      <c r="J59" s="17">
        <f t="shared" si="2"/>
        <v>-6960</v>
      </c>
      <c r="K59" s="199">
        <v>864</v>
      </c>
      <c r="L59" s="199">
        <v>11232</v>
      </c>
      <c r="M59" s="199">
        <v>0</v>
      </c>
      <c r="N59" s="199">
        <v>0</v>
      </c>
      <c r="O59" s="199">
        <v>11232</v>
      </c>
      <c r="P59" s="18">
        <v>9308</v>
      </c>
      <c r="Q59" s="18">
        <f t="shared" si="3"/>
        <v>20540</v>
      </c>
      <c r="R59" s="17">
        <f>(25*B6)+(25*C6)+(50*D6)+(100*Q6)+(16*R6)</f>
        <v>43300</v>
      </c>
      <c r="S59" s="18">
        <f t="shared" si="4"/>
        <v>22760</v>
      </c>
      <c r="T59" s="199">
        <v>0</v>
      </c>
      <c r="U59" s="199">
        <v>0</v>
      </c>
      <c r="V59" s="19">
        <v>0</v>
      </c>
      <c r="W59" s="19">
        <f t="shared" si="5"/>
        <v>0</v>
      </c>
      <c r="X59" s="19"/>
      <c r="Y59" s="19">
        <f t="shared" si="16"/>
        <v>0</v>
      </c>
      <c r="Z59" s="199"/>
      <c r="AA59" s="198"/>
      <c r="AB59" s="18">
        <f t="shared" si="6"/>
        <v>0</v>
      </c>
      <c r="AC59" s="100">
        <f t="shared" si="7"/>
        <v>0</v>
      </c>
      <c r="AD59" s="108">
        <f t="shared" si="8"/>
        <v>15800</v>
      </c>
      <c r="AE59" s="103"/>
      <c r="AF59" s="22"/>
      <c r="AG59" s="22"/>
      <c r="AH59" s="199">
        <f t="shared" si="9"/>
        <v>16212</v>
      </c>
      <c r="AI59" s="199">
        <f t="shared" si="0"/>
        <v>16212</v>
      </c>
      <c r="AJ59" s="199">
        <v>13987.4</v>
      </c>
      <c r="AK59" s="199">
        <f t="shared" si="10"/>
        <v>2224.6000000000004</v>
      </c>
      <c r="AL59" s="199" t="s">
        <v>79</v>
      </c>
      <c r="AM59" s="199">
        <v>40058</v>
      </c>
      <c r="AN59" s="199">
        <v>200</v>
      </c>
      <c r="AO59" s="199">
        <f t="shared" si="11"/>
        <v>40258</v>
      </c>
      <c r="AP59" s="196"/>
      <c r="AQ59" s="196"/>
      <c r="AR59" s="196"/>
      <c r="AS59" s="196"/>
    </row>
    <row r="60" spans="1:45" s="197" customFormat="1" ht="30">
      <c r="A60" s="224" t="s">
        <v>93</v>
      </c>
      <c r="B60" s="17"/>
      <c r="C60" s="194">
        <v>173</v>
      </c>
      <c r="D60" s="17"/>
      <c r="E60" s="18"/>
      <c r="F60" s="199"/>
      <c r="G60" s="11">
        <v>2490</v>
      </c>
      <c r="H60" s="17">
        <f t="shared" si="1"/>
        <v>2490</v>
      </c>
      <c r="I60" s="17">
        <v>3000</v>
      </c>
      <c r="J60" s="17">
        <f t="shared" si="2"/>
        <v>510</v>
      </c>
      <c r="K60" s="199"/>
      <c r="L60" s="199"/>
      <c r="M60" s="199"/>
      <c r="N60" s="199"/>
      <c r="O60" s="199"/>
      <c r="P60" s="18">
        <v>596.5</v>
      </c>
      <c r="Q60" s="18">
        <f t="shared" si="3"/>
        <v>596.5</v>
      </c>
      <c r="R60" s="17">
        <f t="shared" si="14"/>
        <v>0</v>
      </c>
      <c r="S60" s="18">
        <f t="shared" si="4"/>
        <v>-596.5</v>
      </c>
      <c r="T60" s="199"/>
      <c r="U60" s="199"/>
      <c r="V60" s="194">
        <v>0</v>
      </c>
      <c r="W60" s="19">
        <f t="shared" si="5"/>
        <v>0</v>
      </c>
      <c r="X60" s="19"/>
      <c r="Y60" s="19">
        <f t="shared" si="16"/>
        <v>0</v>
      </c>
      <c r="Z60" s="199"/>
      <c r="AA60" s="198"/>
      <c r="AB60" s="18">
        <f t="shared" si="6"/>
        <v>0</v>
      </c>
      <c r="AC60" s="100">
        <f t="shared" si="7"/>
        <v>0</v>
      </c>
      <c r="AD60" s="109">
        <f t="shared" si="8"/>
        <v>-86.5</v>
      </c>
      <c r="AE60" s="103"/>
      <c r="AF60" s="17"/>
      <c r="AG60" s="17"/>
      <c r="AH60" s="199">
        <f t="shared" si="9"/>
        <v>0</v>
      </c>
      <c r="AI60" s="199">
        <f t="shared" si="0"/>
        <v>0</v>
      </c>
      <c r="AJ60" s="199">
        <v>2489.5</v>
      </c>
      <c r="AK60" s="199">
        <f t="shared" si="10"/>
        <v>-2489.5</v>
      </c>
      <c r="AL60" s="199"/>
      <c r="AM60" s="199"/>
      <c r="AN60" s="199"/>
      <c r="AO60" s="199">
        <f t="shared" si="11"/>
        <v>0</v>
      </c>
      <c r="AP60" s="196"/>
      <c r="AQ60" s="196"/>
      <c r="AR60" s="196"/>
      <c r="AS60" s="196"/>
    </row>
    <row r="61" spans="1:45" s="197" customFormat="1">
      <c r="A61" s="194" t="s">
        <v>94</v>
      </c>
      <c r="B61" s="11">
        <v>58</v>
      </c>
      <c r="C61" s="193">
        <v>58</v>
      </c>
      <c r="D61" s="11">
        <v>11</v>
      </c>
      <c r="E61" s="23">
        <v>18.96551724137931</v>
      </c>
      <c r="F61" s="194">
        <v>2489.5</v>
      </c>
      <c r="G61" s="11">
        <v>2490</v>
      </c>
      <c r="H61" s="17">
        <f t="shared" si="1"/>
        <v>4979.5</v>
      </c>
      <c r="I61" s="17">
        <v>3000</v>
      </c>
      <c r="J61" s="17">
        <f t="shared" si="2"/>
        <v>-1979.5</v>
      </c>
      <c r="K61" s="194">
        <v>66</v>
      </c>
      <c r="L61" s="194">
        <v>858</v>
      </c>
      <c r="M61" s="194">
        <v>0</v>
      </c>
      <c r="N61" s="194">
        <v>0</v>
      </c>
      <c r="O61" s="194">
        <v>858</v>
      </c>
      <c r="P61" s="18">
        <v>873.5</v>
      </c>
      <c r="Q61" s="18">
        <f t="shared" si="3"/>
        <v>1731.5</v>
      </c>
      <c r="R61" s="17">
        <f>(11*B6)</f>
        <v>5500</v>
      </c>
      <c r="S61" s="18">
        <f t="shared" si="4"/>
        <v>3768.5</v>
      </c>
      <c r="T61" s="194">
        <v>0</v>
      </c>
      <c r="U61" s="194">
        <v>0</v>
      </c>
      <c r="V61" s="194">
        <v>0</v>
      </c>
      <c r="W61" s="19">
        <f t="shared" si="5"/>
        <v>0</v>
      </c>
      <c r="X61" s="19"/>
      <c r="Y61" s="19">
        <f t="shared" si="16"/>
        <v>0</v>
      </c>
      <c r="Z61" s="194"/>
      <c r="AA61" s="198"/>
      <c r="AB61" s="18">
        <f t="shared" si="6"/>
        <v>0</v>
      </c>
      <c r="AC61" s="100">
        <f t="shared" si="7"/>
        <v>0</v>
      </c>
      <c r="AD61" s="109">
        <f t="shared" si="8"/>
        <v>1789</v>
      </c>
      <c r="AE61" s="103"/>
      <c r="AF61" s="17"/>
      <c r="AG61" s="17"/>
      <c r="AH61" s="199">
        <f t="shared" si="9"/>
        <v>3347.5</v>
      </c>
      <c r="AI61" s="199">
        <f t="shared" si="0"/>
        <v>3347.5</v>
      </c>
      <c r="AJ61" s="199">
        <v>3392.7</v>
      </c>
      <c r="AK61" s="199">
        <f t="shared" si="10"/>
        <v>-45.199999999999818</v>
      </c>
      <c r="AL61" s="199" t="s">
        <v>43</v>
      </c>
      <c r="AM61" s="199"/>
      <c r="AN61" s="199"/>
      <c r="AO61" s="199">
        <f t="shared" si="11"/>
        <v>0</v>
      </c>
      <c r="AP61" s="196"/>
      <c r="AQ61" s="196"/>
      <c r="AR61" s="196"/>
      <c r="AS61" s="196"/>
    </row>
    <row r="62" spans="1:45" s="197" customFormat="1">
      <c r="A62" s="194" t="s">
        <v>95</v>
      </c>
      <c r="B62" s="17">
        <v>258</v>
      </c>
      <c r="C62" s="194">
        <v>257</v>
      </c>
      <c r="D62" s="17">
        <v>26</v>
      </c>
      <c r="E62" s="18">
        <v>10.077519379844961</v>
      </c>
      <c r="F62" s="199">
        <v>2489.5</v>
      </c>
      <c r="G62" s="17">
        <v>2490</v>
      </c>
      <c r="H62" s="17">
        <f t="shared" si="1"/>
        <v>4979.5</v>
      </c>
      <c r="I62" s="17">
        <v>3000</v>
      </c>
      <c r="J62" s="17">
        <f t="shared" si="2"/>
        <v>-1979.5</v>
      </c>
      <c r="K62" s="199">
        <v>165</v>
      </c>
      <c r="L62" s="199">
        <v>2145</v>
      </c>
      <c r="M62" s="199">
        <v>0</v>
      </c>
      <c r="N62" s="199">
        <v>0</v>
      </c>
      <c r="O62" s="199">
        <v>2145</v>
      </c>
      <c r="P62" s="18">
        <v>2431</v>
      </c>
      <c r="Q62" s="18">
        <f t="shared" si="3"/>
        <v>4576</v>
      </c>
      <c r="R62" s="17">
        <f>(25*B6)+(1*C6)</f>
        <v>12900</v>
      </c>
      <c r="S62" s="18">
        <f t="shared" si="4"/>
        <v>8324</v>
      </c>
      <c r="T62" s="199">
        <v>0</v>
      </c>
      <c r="U62" s="199">
        <v>0</v>
      </c>
      <c r="V62" s="19">
        <v>0</v>
      </c>
      <c r="W62" s="19">
        <f t="shared" si="5"/>
        <v>0</v>
      </c>
      <c r="X62" s="19"/>
      <c r="Y62" s="19">
        <f t="shared" si="16"/>
        <v>0</v>
      </c>
      <c r="Z62" s="199"/>
      <c r="AA62" s="198"/>
      <c r="AB62" s="18">
        <f t="shared" si="6"/>
        <v>0</v>
      </c>
      <c r="AC62" s="100">
        <f t="shared" si="7"/>
        <v>0</v>
      </c>
      <c r="AD62" s="109">
        <f t="shared" si="8"/>
        <v>6344.5</v>
      </c>
      <c r="AE62" s="103"/>
      <c r="AF62" s="17"/>
      <c r="AG62" s="17"/>
      <c r="AH62" s="199">
        <f t="shared" si="9"/>
        <v>4634.5</v>
      </c>
      <c r="AI62" s="199">
        <f t="shared" si="0"/>
        <v>4634.5</v>
      </c>
      <c r="AJ62" s="199">
        <v>5433.1</v>
      </c>
      <c r="AK62" s="199">
        <f t="shared" si="10"/>
        <v>-798.60000000000036</v>
      </c>
      <c r="AL62" s="199" t="s">
        <v>43</v>
      </c>
      <c r="AM62" s="199">
        <v>10500</v>
      </c>
      <c r="AN62" s="199"/>
      <c r="AO62" s="199">
        <f t="shared" si="11"/>
        <v>10500</v>
      </c>
      <c r="AP62" s="196"/>
      <c r="AQ62" s="196"/>
      <c r="AR62" s="196"/>
      <c r="AS62" s="196"/>
    </row>
    <row r="63" spans="1:45" s="197" customFormat="1">
      <c r="A63" s="194" t="s">
        <v>96</v>
      </c>
      <c r="B63" s="17">
        <v>164</v>
      </c>
      <c r="C63" s="194">
        <v>164</v>
      </c>
      <c r="D63" s="17">
        <v>14</v>
      </c>
      <c r="E63" s="18">
        <v>8.536585365853659</v>
      </c>
      <c r="F63" s="199">
        <v>2489.5</v>
      </c>
      <c r="G63" s="17">
        <v>2490</v>
      </c>
      <c r="H63" s="17">
        <f t="shared" si="1"/>
        <v>4979.5</v>
      </c>
      <c r="I63" s="17">
        <v>3000</v>
      </c>
      <c r="J63" s="17">
        <f t="shared" si="2"/>
        <v>-1979.5</v>
      </c>
      <c r="K63" s="199">
        <v>48</v>
      </c>
      <c r="L63" s="199">
        <v>624</v>
      </c>
      <c r="M63" s="199">
        <v>8</v>
      </c>
      <c r="N63" s="199">
        <v>24.8</v>
      </c>
      <c r="O63" s="199">
        <v>648.79999999999995</v>
      </c>
      <c r="P63" s="18">
        <v>330.6</v>
      </c>
      <c r="Q63" s="18">
        <f t="shared" si="3"/>
        <v>979.4</v>
      </c>
      <c r="R63" s="17">
        <f>(14*B6)</f>
        <v>7000</v>
      </c>
      <c r="S63" s="18">
        <f t="shared" si="4"/>
        <v>6020.6</v>
      </c>
      <c r="T63" s="199">
        <v>0</v>
      </c>
      <c r="U63" s="199">
        <v>0</v>
      </c>
      <c r="V63" s="19"/>
      <c r="W63" s="19">
        <f t="shared" si="5"/>
        <v>0</v>
      </c>
      <c r="X63" s="19"/>
      <c r="Y63" s="19">
        <f t="shared" si="16"/>
        <v>0</v>
      </c>
      <c r="Z63" s="199">
        <f>[2]Svømmetimetilskud!J12</f>
        <v>57.851439324133217</v>
      </c>
      <c r="AA63" s="203">
        <v>150.07911917088813</v>
      </c>
      <c r="AB63" s="18">
        <f t="shared" si="6"/>
        <v>207.93055849502136</v>
      </c>
      <c r="AC63" s="100">
        <f>-AB63/2</f>
        <v>-103.96527924751068</v>
      </c>
      <c r="AD63" s="109">
        <f t="shared" si="8"/>
        <v>3937.1347207524896</v>
      </c>
      <c r="AE63" s="103"/>
      <c r="AF63" s="17"/>
      <c r="AG63" s="17"/>
      <c r="AH63" s="199">
        <f t="shared" si="9"/>
        <v>3138.3</v>
      </c>
      <c r="AI63" s="199">
        <f t="shared" si="0"/>
        <v>3138.3</v>
      </c>
      <c r="AJ63" s="199">
        <v>3254.7</v>
      </c>
      <c r="AK63" s="199">
        <f t="shared" si="10"/>
        <v>-116.39999999999964</v>
      </c>
      <c r="AL63" s="199" t="s">
        <v>43</v>
      </c>
      <c r="AM63" s="199">
        <v>6936.39</v>
      </c>
      <c r="AN63" s="199">
        <v>873.6</v>
      </c>
      <c r="AO63" s="199">
        <f t="shared" si="11"/>
        <v>7809.9900000000007</v>
      </c>
      <c r="AP63" s="196"/>
      <c r="AQ63" s="196"/>
      <c r="AR63" s="196"/>
      <c r="AS63" s="196"/>
    </row>
    <row r="64" spans="1:45" s="197" customFormat="1">
      <c r="A64" s="194" t="s">
        <v>97</v>
      </c>
      <c r="B64" s="17">
        <v>118</v>
      </c>
      <c r="C64" s="194">
        <v>89</v>
      </c>
      <c r="D64" s="17">
        <v>13</v>
      </c>
      <c r="E64" s="18">
        <v>11.0169491525424</v>
      </c>
      <c r="F64" s="199">
        <v>2489.5</v>
      </c>
      <c r="G64" s="17">
        <v>2490</v>
      </c>
      <c r="H64" s="17">
        <f t="shared" si="1"/>
        <v>4979.5</v>
      </c>
      <c r="I64" s="17">
        <v>3000</v>
      </c>
      <c r="J64" s="17">
        <f t="shared" si="2"/>
        <v>-1979.5</v>
      </c>
      <c r="K64" s="199">
        <v>60</v>
      </c>
      <c r="L64" s="199">
        <v>780</v>
      </c>
      <c r="M64" s="199">
        <v>18</v>
      </c>
      <c r="N64" s="199">
        <v>55.8</v>
      </c>
      <c r="O64" s="199">
        <v>835.8</v>
      </c>
      <c r="P64" s="18">
        <v>798.6</v>
      </c>
      <c r="Q64" s="18">
        <f t="shared" si="3"/>
        <v>1634.4</v>
      </c>
      <c r="R64" s="17">
        <f>(13*B6)</f>
        <v>6500</v>
      </c>
      <c r="S64" s="18">
        <f t="shared" si="4"/>
        <v>4865.6000000000004</v>
      </c>
      <c r="T64" s="199">
        <v>0</v>
      </c>
      <c r="U64" s="199">
        <v>0</v>
      </c>
      <c r="V64" s="19">
        <v>0</v>
      </c>
      <c r="W64" s="19">
        <f t="shared" si="5"/>
        <v>0</v>
      </c>
      <c r="X64" s="19"/>
      <c r="Y64" s="19">
        <f t="shared" si="16"/>
        <v>0</v>
      </c>
      <c r="Z64" s="199"/>
      <c r="AA64" s="208"/>
      <c r="AB64" s="18">
        <f t="shared" si="6"/>
        <v>0</v>
      </c>
      <c r="AC64" s="100">
        <f t="shared" si="7"/>
        <v>0</v>
      </c>
      <c r="AD64" s="109">
        <f t="shared" si="8"/>
        <v>2886.1000000000004</v>
      </c>
      <c r="AE64" s="103"/>
      <c r="AF64" s="17"/>
      <c r="AG64" s="17"/>
      <c r="AH64" s="199">
        <f t="shared" si="9"/>
        <v>3325.3</v>
      </c>
      <c r="AI64" s="199">
        <f t="shared" si="0"/>
        <v>3325.3</v>
      </c>
      <c r="AJ64" s="199">
        <v>3288.1</v>
      </c>
      <c r="AK64" s="199">
        <f t="shared" si="10"/>
        <v>37.200000000000273</v>
      </c>
      <c r="AL64" s="199" t="s">
        <v>43</v>
      </c>
      <c r="AM64" s="199">
        <v>20376.39</v>
      </c>
      <c r="AN64" s="199">
        <v>102.5</v>
      </c>
      <c r="AO64" s="199">
        <f t="shared" si="11"/>
        <v>20478.89</v>
      </c>
      <c r="AP64" s="196"/>
      <c r="AQ64" s="196"/>
      <c r="AR64" s="196"/>
      <c r="AS64" s="196"/>
    </row>
    <row r="65" spans="1:45" s="197" customFormat="1">
      <c r="A65" s="193" t="s">
        <v>98</v>
      </c>
      <c r="B65" s="11">
        <v>1139</v>
      </c>
      <c r="C65" s="194">
        <v>1181</v>
      </c>
      <c r="D65" s="11">
        <v>778</v>
      </c>
      <c r="E65" s="23">
        <v>68.305531167690958</v>
      </c>
      <c r="F65" s="194">
        <v>4980</v>
      </c>
      <c r="G65" s="17">
        <v>4980</v>
      </c>
      <c r="H65" s="17">
        <f t="shared" si="1"/>
        <v>9960</v>
      </c>
      <c r="I65" s="17">
        <f>'[2]Hovedfor. ens (3)'!I30</f>
        <v>18000</v>
      </c>
      <c r="J65" s="17">
        <f t="shared" si="2"/>
        <v>8040</v>
      </c>
      <c r="K65" s="193">
        <v>3522</v>
      </c>
      <c r="L65" s="193">
        <v>45786</v>
      </c>
      <c r="M65" s="193">
        <v>76</v>
      </c>
      <c r="N65" s="193">
        <v>235.6</v>
      </c>
      <c r="O65" s="193">
        <v>46021.599999999999</v>
      </c>
      <c r="P65" s="18">
        <v>44504</v>
      </c>
      <c r="Q65" s="18">
        <f t="shared" si="3"/>
        <v>90525.6</v>
      </c>
      <c r="R65" s="153">
        <f>(25*B6)+(25*C6)+(50*D6)+(100*Q6)+(200*R6)+(378*S6)</f>
        <v>61950</v>
      </c>
      <c r="S65" s="18">
        <f t="shared" si="4"/>
        <v>-28575.600000000006</v>
      </c>
      <c r="T65" s="194">
        <v>889.5</v>
      </c>
      <c r="U65" s="194">
        <v>29353.5</v>
      </c>
      <c r="V65" s="19">
        <v>26581.5</v>
      </c>
      <c r="W65" s="19">
        <f t="shared" si="5"/>
        <v>55935</v>
      </c>
      <c r="X65" s="28">
        <f>'[2]Hovedfor. ens (3)'!W24</f>
        <v>1218.969696969697</v>
      </c>
      <c r="Y65" s="19">
        <f>-W65*Y11</f>
        <v>-55935</v>
      </c>
      <c r="Z65" s="194"/>
      <c r="AA65" s="194"/>
      <c r="AB65" s="18">
        <f t="shared" si="6"/>
        <v>0</v>
      </c>
      <c r="AC65" s="100">
        <f t="shared" si="7"/>
        <v>0</v>
      </c>
      <c r="AD65" s="109">
        <f>J65+S65+Y65+AC65+AG65</f>
        <v>-54437.144397106706</v>
      </c>
      <c r="AE65" s="103">
        <f>E65</f>
        <v>68.305531167690958</v>
      </c>
      <c r="AF65" s="17">
        <f>X65*AE65/100</f>
        <v>832.62372628834453</v>
      </c>
      <c r="AG65" s="17">
        <f>AF65*AG11/AF67</f>
        <v>22033.4556028933</v>
      </c>
      <c r="AH65" s="199">
        <f t="shared" si="9"/>
        <v>51001.599999999999</v>
      </c>
      <c r="AI65" s="199">
        <f t="shared" si="0"/>
        <v>80355.100000000006</v>
      </c>
      <c r="AJ65" s="199">
        <v>79821.399999999994</v>
      </c>
      <c r="AK65" s="199">
        <f t="shared" si="10"/>
        <v>533.70000000001164</v>
      </c>
      <c r="AL65" s="199" t="s">
        <v>43</v>
      </c>
      <c r="AM65" s="144">
        <f xml:space="preserve"> 68406+17750</f>
        <v>86156</v>
      </c>
      <c r="AN65" s="144">
        <v>3724.4</v>
      </c>
      <c r="AO65" s="199">
        <f t="shared" si="11"/>
        <v>89880.4</v>
      </c>
      <c r="AP65" s="196"/>
      <c r="AQ65" s="196"/>
      <c r="AR65" s="196"/>
      <c r="AS65" s="196"/>
    </row>
    <row r="66" spans="1:45" s="197" customFormat="1">
      <c r="A66" s="194" t="s">
        <v>99</v>
      </c>
      <c r="B66" s="17">
        <v>350</v>
      </c>
      <c r="C66" s="194">
        <v>340</v>
      </c>
      <c r="D66" s="17">
        <v>220</v>
      </c>
      <c r="E66" s="18">
        <v>62.857142857142854</v>
      </c>
      <c r="F66" s="199">
        <v>4980</v>
      </c>
      <c r="G66" s="17">
        <v>4980</v>
      </c>
      <c r="H66" s="17">
        <f t="shared" si="1"/>
        <v>9960</v>
      </c>
      <c r="I66" s="17">
        <f>3000*7</f>
        <v>21000</v>
      </c>
      <c r="J66" s="17">
        <f t="shared" si="2"/>
        <v>11040</v>
      </c>
      <c r="K66" s="199">
        <v>1134</v>
      </c>
      <c r="L66" s="199">
        <v>14742</v>
      </c>
      <c r="M66" s="199">
        <v>26</v>
      </c>
      <c r="N66" s="199">
        <v>80.600000000000009</v>
      </c>
      <c r="O66" s="199">
        <v>14822.6</v>
      </c>
      <c r="P66" s="18">
        <v>16623.599999999999</v>
      </c>
      <c r="Q66" s="18">
        <f t="shared" si="3"/>
        <v>31446.199999999997</v>
      </c>
      <c r="R66" s="153">
        <f>(25*B6)+(25*C6)+(50*D6)+(100*Q6)+(20*R6)</f>
        <v>43500</v>
      </c>
      <c r="S66" s="18">
        <f t="shared" si="4"/>
        <v>12053.800000000003</v>
      </c>
      <c r="T66" s="199">
        <v>405</v>
      </c>
      <c r="U66" s="199">
        <v>13365</v>
      </c>
      <c r="V66" s="19">
        <v>7194</v>
      </c>
      <c r="W66" s="19">
        <f t="shared" si="5"/>
        <v>20559</v>
      </c>
      <c r="X66" s="28">
        <f>'[2]Hovedfor. ens (3)'!W33+'[2]Hovedfor. ens (3)'!W34</f>
        <v>623</v>
      </c>
      <c r="Y66" s="19">
        <f>-W66*Y11</f>
        <v>-20559</v>
      </c>
      <c r="Z66" s="199"/>
      <c r="AA66" s="194">
        <v>0</v>
      </c>
      <c r="AB66" s="18">
        <f t="shared" si="6"/>
        <v>0</v>
      </c>
      <c r="AC66" s="100">
        <f t="shared" si="7"/>
        <v>0</v>
      </c>
      <c r="AD66" s="109">
        <f>J66+S66+Y66+AC66+AG66</f>
        <v>12897.585663766884</v>
      </c>
      <c r="AE66" s="103">
        <f>E66</f>
        <v>62.857142857142854</v>
      </c>
      <c r="AF66" s="17">
        <f>X66*AE66/100</f>
        <v>391.6</v>
      </c>
      <c r="AG66" s="17">
        <f>AF66*AG11/AF67</f>
        <v>10362.785663766881</v>
      </c>
      <c r="AH66" s="199">
        <f t="shared" si="9"/>
        <v>19802.599999999999</v>
      </c>
      <c r="AI66" s="199">
        <f t="shared" si="0"/>
        <v>33167.599999999999</v>
      </c>
      <c r="AJ66" s="199">
        <v>36306.699999999997</v>
      </c>
      <c r="AK66" s="199">
        <f t="shared" si="10"/>
        <v>-3139.0999999999985</v>
      </c>
      <c r="AL66" s="199" t="s">
        <v>100</v>
      </c>
      <c r="AM66" s="199"/>
      <c r="AN66" s="199"/>
      <c r="AO66" s="199">
        <f t="shared" si="11"/>
        <v>0</v>
      </c>
      <c r="AP66" s="196"/>
      <c r="AQ66" s="196"/>
      <c r="AR66" s="196"/>
      <c r="AS66" s="196"/>
    </row>
    <row r="67" spans="1:45" s="197" customFormat="1">
      <c r="A67" s="204" t="s">
        <v>101</v>
      </c>
      <c r="B67" s="195"/>
      <c r="C67" s="193"/>
      <c r="D67" s="13">
        <f>SUM(D12:D66)</f>
        <v>7676</v>
      </c>
      <c r="E67" s="23"/>
      <c r="F67" s="209">
        <f>SUM(F12:F66)</f>
        <v>146893.5</v>
      </c>
      <c r="G67" s="210">
        <f>SUM(G12:G66)</f>
        <v>141930</v>
      </c>
      <c r="H67" s="210">
        <f>SUM(H12:H66)</f>
        <v>288823.5</v>
      </c>
      <c r="I67" s="210">
        <f>SUM(I12:I66)</f>
        <v>213000</v>
      </c>
      <c r="J67" s="13">
        <f t="shared" si="2"/>
        <v>-75823.5</v>
      </c>
      <c r="K67" s="195"/>
      <c r="L67" s="195"/>
      <c r="M67" s="195"/>
      <c r="N67" s="195"/>
      <c r="O67" s="209">
        <f>SUM(O12:O66)</f>
        <v>471530.89999999991</v>
      </c>
      <c r="P67" s="42">
        <f>SUM(P12:P66)</f>
        <v>469351.89999999997</v>
      </c>
      <c r="Q67" s="42">
        <f>SUM(Q12:Q66)</f>
        <v>940882.7999999997</v>
      </c>
      <c r="R67" s="42">
        <f>SUM(R12:R66)</f>
        <v>1174725</v>
      </c>
      <c r="S67" s="42">
        <f>SUM(S12:S66)</f>
        <v>233842.19999999995</v>
      </c>
      <c r="T67" s="195"/>
      <c r="U67" s="209">
        <f t="shared" ref="U67" si="17">SUM(U12:U66)</f>
        <v>211851.75</v>
      </c>
      <c r="V67" s="42">
        <f>SUM(V12:V66)</f>
        <v>220324.5</v>
      </c>
      <c r="W67" s="42">
        <f>SUM(W12:W66)</f>
        <v>432176.25</v>
      </c>
      <c r="X67" s="42">
        <f>SUM(X12:X66)</f>
        <v>10148.71212121212</v>
      </c>
      <c r="Y67" s="43">
        <f>SUM(Y12:Y66)</f>
        <v>-432176.25</v>
      </c>
      <c r="Z67" s="209">
        <f>SUM(Z13:Z66)</f>
        <v>94999.999999999985</v>
      </c>
      <c r="AA67" s="192">
        <f t="shared" ref="AA67:AD67" si="18">SUM(AA12:AA66)</f>
        <v>95000</v>
      </c>
      <c r="AB67" s="42">
        <f t="shared" si="18"/>
        <v>190000</v>
      </c>
      <c r="AC67" s="101">
        <f t="shared" si="18"/>
        <v>-95000</v>
      </c>
      <c r="AD67" s="110">
        <f t="shared" si="18"/>
        <v>-169157.54999999996</v>
      </c>
      <c r="AE67" s="104"/>
      <c r="AF67" s="13">
        <f>SUM(AF11:AF66)</f>
        <v>7557.8133661340844</v>
      </c>
      <c r="AG67" s="13">
        <f>SUM(AG12:AG66)</f>
        <v>200000.00000000003</v>
      </c>
      <c r="AH67" s="149">
        <f>SUM(AH12:AH66)</f>
        <v>604450.30000000005</v>
      </c>
      <c r="AI67" s="149">
        <f>SUM(AI12:AI66)</f>
        <v>816302.04999999993</v>
      </c>
      <c r="AJ67" s="199">
        <v>848036.29999999993</v>
      </c>
      <c r="AK67" s="199"/>
      <c r="AL67" s="194"/>
      <c r="AM67" s="149">
        <f>SUM(AM12:AM66)</f>
        <v>726076.14000000013</v>
      </c>
      <c r="AN67" s="149">
        <f>SUM(AN12:AN66)</f>
        <v>12732.449999999999</v>
      </c>
      <c r="AO67" s="149">
        <f t="shared" si="11"/>
        <v>738808.59000000008</v>
      </c>
      <c r="AP67" s="196"/>
      <c r="AQ67" s="196"/>
      <c r="AR67" s="196"/>
      <c r="AS67" s="196"/>
    </row>
    <row r="68" spans="1:45" s="197" customFormat="1">
      <c r="A68" s="193"/>
      <c r="B68" s="195"/>
      <c r="C68" s="193"/>
      <c r="D68" s="195"/>
      <c r="E68" s="195"/>
      <c r="F68" s="195"/>
      <c r="G68" s="193"/>
      <c r="H68" s="193"/>
      <c r="I68" s="193"/>
      <c r="J68" s="17">
        <f t="shared" si="2"/>
        <v>0</v>
      </c>
      <c r="K68" s="195"/>
      <c r="L68" s="195"/>
      <c r="M68" s="195"/>
      <c r="N68" s="195"/>
      <c r="O68" s="195"/>
      <c r="P68" s="193"/>
      <c r="Q68" s="193"/>
      <c r="R68" s="194"/>
      <c r="S68" s="194"/>
      <c r="T68" s="195"/>
      <c r="U68" s="195"/>
      <c r="V68" s="193"/>
      <c r="W68" s="193"/>
      <c r="X68" s="193"/>
      <c r="Y68" s="193"/>
      <c r="Z68" s="195"/>
      <c r="AA68" s="194"/>
      <c r="AB68" s="194"/>
      <c r="AC68" s="236"/>
      <c r="AD68" s="259"/>
      <c r="AE68" s="231"/>
      <c r="AF68" s="194"/>
      <c r="AG68" s="194"/>
      <c r="AH68" s="149">
        <f>AH67-AH54-AH41-AH31-AH26-AH12</f>
        <v>577591.5</v>
      </c>
      <c r="AI68" s="149">
        <f>AI67-AI54-AI41-AI31-AI26-AI12</f>
        <v>788915.24999999988</v>
      </c>
      <c r="AJ68" s="199"/>
      <c r="AK68" s="199"/>
      <c r="AL68" s="194"/>
      <c r="AM68" s="149"/>
      <c r="AN68" s="199"/>
      <c r="AO68" s="199"/>
      <c r="AP68" s="196"/>
      <c r="AQ68" s="196"/>
      <c r="AR68" s="196"/>
      <c r="AS68" s="196"/>
    </row>
    <row r="69" spans="1:45" s="197" customFormat="1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211"/>
      <c r="S69" s="211"/>
      <c r="T69" s="183"/>
      <c r="U69" s="183"/>
      <c r="V69" s="183"/>
      <c r="W69" s="183"/>
      <c r="X69" s="183"/>
      <c r="Y69" s="45">
        <f>W67+Y67</f>
        <v>0</v>
      </c>
      <c r="Z69" s="183"/>
      <c r="AA69" s="183"/>
      <c r="AB69" s="183"/>
      <c r="AC69" s="211"/>
      <c r="AD69" s="260"/>
      <c r="AE69" s="211"/>
      <c r="AF69" s="211"/>
      <c r="AG69" s="211"/>
      <c r="AH69" s="183"/>
      <c r="AI69" s="183"/>
      <c r="AJ69" s="183"/>
      <c r="AK69" s="183"/>
      <c r="AL69" s="183"/>
      <c r="AM69" s="212"/>
      <c r="AN69" s="212"/>
      <c r="AO69" s="212"/>
      <c r="AP69" s="196"/>
      <c r="AQ69" s="196"/>
      <c r="AR69" s="196"/>
      <c r="AS69" s="196"/>
    </row>
    <row r="70" spans="1:45" s="197" customFormat="1" ht="93.75" customHeight="1">
      <c r="A70" s="247" t="s">
        <v>102</v>
      </c>
      <c r="B70" s="47" t="s">
        <v>103</v>
      </c>
      <c r="C70" s="213" t="s">
        <v>104</v>
      </c>
      <c r="D70" s="214" t="s">
        <v>105</v>
      </c>
      <c r="E70" s="213" t="s">
        <v>104</v>
      </c>
      <c r="F70" s="184" t="s">
        <v>106</v>
      </c>
      <c r="G70" s="184" t="s">
        <v>107</v>
      </c>
      <c r="H70" s="248" t="s">
        <v>108</v>
      </c>
      <c r="I70" s="186" t="s">
        <v>5</v>
      </c>
      <c r="J70" s="187" t="s">
        <v>6</v>
      </c>
      <c r="K70" s="183"/>
      <c r="L70" s="183"/>
      <c r="M70" s="215" t="s">
        <v>109</v>
      </c>
      <c r="N70" s="183"/>
      <c r="O70" s="184" t="s">
        <v>8</v>
      </c>
      <c r="P70" s="184" t="s">
        <v>9</v>
      </c>
      <c r="Q70" s="248" t="s">
        <v>10</v>
      </c>
      <c r="R70" s="186" t="s">
        <v>234</v>
      </c>
      <c r="S70" s="187" t="s">
        <v>12</v>
      </c>
      <c r="T70" s="183"/>
      <c r="U70" s="183"/>
      <c r="V70" s="183"/>
      <c r="W70" s="183"/>
      <c r="X70" s="183"/>
      <c r="Y70" s="183"/>
      <c r="Z70" s="216"/>
      <c r="AA70" s="183"/>
      <c r="AB70" s="45"/>
      <c r="AC70" s="197">
        <f>AG81/AD81</f>
        <v>67.67502453219582</v>
      </c>
      <c r="AD70" s="261" t="s">
        <v>21</v>
      </c>
      <c r="AE70" s="256" t="s">
        <v>110</v>
      </c>
      <c r="AF70" s="189">
        <v>0.2</v>
      </c>
      <c r="AG70" s="272" t="s">
        <v>178</v>
      </c>
      <c r="AH70" s="183"/>
      <c r="AI70" s="183"/>
      <c r="AJ70" s="183"/>
      <c r="AK70" s="183"/>
      <c r="AL70" s="183"/>
      <c r="AM70" s="268" t="s">
        <v>29</v>
      </c>
      <c r="AN70" s="183"/>
      <c r="AO70" s="269" t="s">
        <v>31</v>
      </c>
      <c r="AP70" s="271" t="s">
        <v>177</v>
      </c>
    </row>
    <row r="71" spans="1:45" s="197" customFormat="1">
      <c r="A71" s="194" t="s">
        <v>111</v>
      </c>
      <c r="B71" s="52">
        <f>303/6</f>
        <v>50.5</v>
      </c>
      <c r="C71" s="217">
        <f>296/6</f>
        <v>49.333333333333336</v>
      </c>
      <c r="D71" s="193">
        <v>50</v>
      </c>
      <c r="E71" s="23">
        <v>70.422535211267601</v>
      </c>
      <c r="F71" s="218">
        <v>3148</v>
      </c>
      <c r="G71" s="11">
        <v>3148</v>
      </c>
      <c r="H71" s="219">
        <f>F71+G71</f>
        <v>6296</v>
      </c>
      <c r="I71" s="136">
        <v>3000</v>
      </c>
      <c r="J71" s="219">
        <f>I71-H71</f>
        <v>-3296</v>
      </c>
      <c r="K71" s="183"/>
      <c r="L71" s="183"/>
      <c r="M71" s="183"/>
      <c r="N71" s="183"/>
      <c r="O71" s="220">
        <v>9659.64</v>
      </c>
      <c r="P71" s="221">
        <v>7015.2</v>
      </c>
      <c r="Q71" s="195">
        <f>O71+P71</f>
        <v>16674.84</v>
      </c>
      <c r="R71" s="17">
        <f>(25*B6)+(25*C6)</f>
        <v>22500</v>
      </c>
      <c r="S71" s="17">
        <f>R71-Q71</f>
        <v>5825.16</v>
      </c>
      <c r="T71" s="183"/>
      <c r="U71" s="183"/>
      <c r="V71" s="183"/>
      <c r="W71" s="183"/>
      <c r="X71" s="183"/>
      <c r="Y71" s="183"/>
      <c r="Z71" s="183"/>
      <c r="AA71" s="183"/>
      <c r="AB71" s="183"/>
      <c r="AC71" s="211"/>
      <c r="AD71" s="134">
        <f>J71+S71</f>
        <v>2529.16</v>
      </c>
      <c r="AE71" s="141">
        <f>AF70*AD71</f>
        <v>505.83199999999999</v>
      </c>
      <c r="AF71" s="222"/>
      <c r="AG71" s="270">
        <f t="shared" ref="AG71:AG80" si="19">AC$70*AD71</f>
        <v>171160.96504584837</v>
      </c>
      <c r="AH71" s="193"/>
      <c r="AI71" s="193"/>
      <c r="AJ71" s="193"/>
      <c r="AK71" s="193"/>
      <c r="AL71" s="193"/>
      <c r="AM71" s="223">
        <v>14060</v>
      </c>
      <c r="AN71" s="193"/>
      <c r="AO71" s="223">
        <v>14060</v>
      </c>
      <c r="AP71" s="267">
        <f>AD71+AG71</f>
        <v>173690.12504584837</v>
      </c>
    </row>
    <row r="72" spans="1:45" s="197" customFormat="1">
      <c r="A72" s="224" t="s">
        <v>112</v>
      </c>
      <c r="B72" s="52">
        <f>660/6</f>
        <v>110</v>
      </c>
      <c r="C72" s="217">
        <f>738/6</f>
        <v>123</v>
      </c>
      <c r="D72" s="193">
        <v>123</v>
      </c>
      <c r="E72" s="23">
        <v>79.870129870129873</v>
      </c>
      <c r="F72" s="218">
        <v>3148</v>
      </c>
      <c r="G72" s="11">
        <v>3148</v>
      </c>
      <c r="H72" s="219">
        <f t="shared" ref="H72:H80" si="20">F72+G72</f>
        <v>6296</v>
      </c>
      <c r="I72" s="136">
        <v>3000</v>
      </c>
      <c r="J72" s="219">
        <f t="shared" ref="J72:J80" si="21">I72-H72</f>
        <v>-3296</v>
      </c>
      <c r="K72" s="183"/>
      <c r="L72" s="183"/>
      <c r="M72" s="183"/>
      <c r="N72" s="183"/>
      <c r="O72" s="220">
        <v>21040.799999999999</v>
      </c>
      <c r="P72" s="221">
        <v>17490.599999999999</v>
      </c>
      <c r="Q72" s="195">
        <f t="shared" ref="Q72:Q80" si="22">O72+P72</f>
        <v>38531.399999999994</v>
      </c>
      <c r="R72" s="17">
        <f>(25*B6)+(25*C6)+(50*D6)+(23*Q6)</f>
        <v>34800</v>
      </c>
      <c r="S72" s="17">
        <f t="shared" ref="S72:S80" si="23">R72-Q72</f>
        <v>-3731.3999999999942</v>
      </c>
      <c r="T72" s="183"/>
      <c r="U72" s="183"/>
      <c r="V72" s="183"/>
      <c r="W72" s="183"/>
      <c r="X72" s="183"/>
      <c r="Y72" s="183"/>
      <c r="Z72" s="183"/>
      <c r="AA72" s="183"/>
      <c r="AB72" s="183"/>
      <c r="AC72" s="211"/>
      <c r="AD72" s="134">
        <f t="shared" ref="AD72:AD81" si="24">J72+S72</f>
        <v>-7027.3999999999942</v>
      </c>
      <c r="AE72" s="141">
        <f>AF70*AD72</f>
        <v>-1405.4799999999989</v>
      </c>
      <c r="AF72" s="222"/>
      <c r="AG72" s="270">
        <f t="shared" si="19"/>
        <v>-475579.46739755251</v>
      </c>
      <c r="AH72" s="193"/>
      <c r="AI72" s="193"/>
      <c r="AJ72" s="193"/>
      <c r="AK72" s="193"/>
      <c r="AL72" s="193"/>
      <c r="AM72" s="223">
        <v>32917</v>
      </c>
      <c r="AN72" s="193"/>
      <c r="AO72" s="223">
        <v>32917</v>
      </c>
      <c r="AP72" s="267">
        <f t="shared" ref="AP72:AP81" si="25">AD72+AG72</f>
        <v>-482606.86739755247</v>
      </c>
    </row>
    <row r="73" spans="1:45" s="197" customFormat="1">
      <c r="A73" s="194" t="s">
        <v>113</v>
      </c>
      <c r="B73" s="52">
        <f>168/6</f>
        <v>28</v>
      </c>
      <c r="C73" s="217">
        <f>153/6</f>
        <v>25.5</v>
      </c>
      <c r="D73" s="193">
        <v>28</v>
      </c>
      <c r="E73" s="23">
        <v>58.333333333333336</v>
      </c>
      <c r="F73" s="218">
        <v>3148</v>
      </c>
      <c r="G73" s="11">
        <v>3148</v>
      </c>
      <c r="H73" s="219">
        <f t="shared" si="20"/>
        <v>6296</v>
      </c>
      <c r="I73" s="136">
        <v>3000</v>
      </c>
      <c r="J73" s="219">
        <f t="shared" si="21"/>
        <v>-3296</v>
      </c>
      <c r="K73" s="183"/>
      <c r="L73" s="183"/>
      <c r="M73" s="183"/>
      <c r="N73" s="183"/>
      <c r="O73" s="220">
        <v>5355.84</v>
      </c>
      <c r="P73" s="221">
        <v>3626.1</v>
      </c>
      <c r="Q73" s="195">
        <f t="shared" si="22"/>
        <v>8981.94</v>
      </c>
      <c r="R73" s="17">
        <f>(25*B6)+(3*C6)</f>
        <v>13700</v>
      </c>
      <c r="S73" s="17">
        <f t="shared" si="23"/>
        <v>4718.0599999999995</v>
      </c>
      <c r="T73" s="183"/>
      <c r="U73" s="183"/>
      <c r="V73" s="183"/>
      <c r="W73" s="183"/>
      <c r="X73" s="183"/>
      <c r="Y73" s="183"/>
      <c r="Z73" s="183"/>
      <c r="AA73" s="183"/>
      <c r="AB73" s="183"/>
      <c r="AC73" s="211"/>
      <c r="AD73" s="134">
        <f t="shared" si="24"/>
        <v>1422.0599999999995</v>
      </c>
      <c r="AE73" s="141">
        <f>AF70*AD73</f>
        <v>284.41199999999992</v>
      </c>
      <c r="AF73" s="222"/>
      <c r="AG73" s="270">
        <f t="shared" si="19"/>
        <v>96237.94538625436</v>
      </c>
      <c r="AH73" s="193"/>
      <c r="AI73" s="193"/>
      <c r="AJ73" s="193"/>
      <c r="AK73" s="193"/>
      <c r="AL73" s="193"/>
      <c r="AM73" s="223">
        <v>12389</v>
      </c>
      <c r="AN73" s="193"/>
      <c r="AO73" s="223">
        <v>12389</v>
      </c>
      <c r="AP73" s="267">
        <f t="shared" si="25"/>
        <v>97660.005386254357</v>
      </c>
    </row>
    <row r="74" spans="1:45" s="197" customFormat="1">
      <c r="A74" s="194" t="s">
        <v>114</v>
      </c>
      <c r="B74" s="52">
        <f>496/6</f>
        <v>82.666666666666671</v>
      </c>
      <c r="C74" s="217">
        <f>436/6</f>
        <v>72.666666666666671</v>
      </c>
      <c r="D74" s="193">
        <v>68</v>
      </c>
      <c r="E74" s="23">
        <v>76.404494382022463</v>
      </c>
      <c r="F74" s="218">
        <v>3148</v>
      </c>
      <c r="G74" s="11">
        <v>3148</v>
      </c>
      <c r="H74" s="219">
        <f t="shared" si="20"/>
        <v>6296</v>
      </c>
      <c r="I74" s="136">
        <v>3000</v>
      </c>
      <c r="J74" s="219">
        <f t="shared" si="21"/>
        <v>-3296</v>
      </c>
      <c r="K74" s="183"/>
      <c r="L74" s="183"/>
      <c r="M74" s="183"/>
      <c r="N74" s="183"/>
      <c r="O74" s="220">
        <v>15812.48</v>
      </c>
      <c r="P74" s="221">
        <v>10333.199999999999</v>
      </c>
      <c r="Q74" s="195">
        <f t="shared" si="22"/>
        <v>26145.68</v>
      </c>
      <c r="R74" s="17">
        <f>(25*B6)+(25*C6)+(18*D6)</f>
        <v>26100</v>
      </c>
      <c r="S74" s="17">
        <f t="shared" si="23"/>
        <v>-45.680000000000291</v>
      </c>
      <c r="T74" s="183"/>
      <c r="U74" s="183"/>
      <c r="V74" s="183"/>
      <c r="W74" s="183"/>
      <c r="X74" s="183"/>
      <c r="Y74" s="183"/>
      <c r="Z74" s="183"/>
      <c r="AA74" s="183"/>
      <c r="AB74" s="183"/>
      <c r="AC74" s="211"/>
      <c r="AD74" s="134">
        <f t="shared" si="24"/>
        <v>-3341.6800000000003</v>
      </c>
      <c r="AE74" s="141">
        <f>AF70*AD74</f>
        <v>-668.33600000000013</v>
      </c>
      <c r="AF74" s="222"/>
      <c r="AG74" s="270">
        <f t="shared" si="19"/>
        <v>-226148.27597874816</v>
      </c>
      <c r="AH74" s="193"/>
      <c r="AI74" s="193"/>
      <c r="AJ74" s="193"/>
      <c r="AK74" s="193"/>
      <c r="AL74" s="193"/>
      <c r="AM74" s="223">
        <v>14655</v>
      </c>
      <c r="AN74" s="193"/>
      <c r="AO74" s="223">
        <v>14655</v>
      </c>
      <c r="AP74" s="267">
        <f t="shared" si="25"/>
        <v>-229489.95597874816</v>
      </c>
    </row>
    <row r="75" spans="1:45" s="197" customFormat="1">
      <c r="A75" s="224" t="s">
        <v>115</v>
      </c>
      <c r="B75" s="52">
        <f>228/6</f>
        <v>38</v>
      </c>
      <c r="C75" s="217">
        <f>164/6</f>
        <v>27.333333333333332</v>
      </c>
      <c r="D75" s="193">
        <v>29</v>
      </c>
      <c r="E75" s="23">
        <v>76.31578947368422</v>
      </c>
      <c r="F75" s="218">
        <v>3148</v>
      </c>
      <c r="G75" s="11">
        <v>3148</v>
      </c>
      <c r="H75" s="219">
        <f t="shared" si="20"/>
        <v>6296</v>
      </c>
      <c r="I75" s="136">
        <v>3000</v>
      </c>
      <c r="J75" s="219">
        <f t="shared" si="21"/>
        <v>-3296</v>
      </c>
      <c r="K75" s="183"/>
      <c r="L75" s="183"/>
      <c r="M75" s="183"/>
      <c r="N75" s="183"/>
      <c r="O75" s="220">
        <v>7268.6399999999994</v>
      </c>
      <c r="P75" s="221">
        <v>3886.7999999999997</v>
      </c>
      <c r="Q75" s="195">
        <f t="shared" si="22"/>
        <v>11155.439999999999</v>
      </c>
      <c r="R75" s="17">
        <f>(25*B6)+(4*C6)</f>
        <v>14100</v>
      </c>
      <c r="S75" s="17">
        <f t="shared" si="23"/>
        <v>2944.5600000000013</v>
      </c>
      <c r="T75" s="183"/>
      <c r="U75" s="183"/>
      <c r="V75" s="183"/>
      <c r="W75" s="183"/>
      <c r="X75" s="183"/>
      <c r="Y75" s="183"/>
      <c r="Z75" s="183"/>
      <c r="AA75" s="183"/>
      <c r="AB75" s="183"/>
      <c r="AC75" s="211"/>
      <c r="AD75" s="134">
        <f t="shared" si="24"/>
        <v>-351.43999999999869</v>
      </c>
      <c r="AE75" s="141">
        <f>AF70*AD75</f>
        <v>-70.287999999999741</v>
      </c>
      <c r="AF75" s="222"/>
      <c r="AG75" s="270">
        <f t="shared" si="19"/>
        <v>-23783.710621594812</v>
      </c>
      <c r="AH75" s="193"/>
      <c r="AI75" s="193"/>
      <c r="AJ75" s="193"/>
      <c r="AK75" s="193"/>
      <c r="AL75" s="193"/>
      <c r="AM75" s="223">
        <v>6390</v>
      </c>
      <c r="AN75" s="193"/>
      <c r="AO75" s="223">
        <v>6390</v>
      </c>
      <c r="AP75" s="267">
        <f t="shared" si="25"/>
        <v>-24135.15062159481</v>
      </c>
    </row>
    <row r="76" spans="1:45" s="197" customFormat="1">
      <c r="A76" s="194" t="s">
        <v>116</v>
      </c>
      <c r="B76" s="52">
        <f>150/6</f>
        <v>25</v>
      </c>
      <c r="C76" s="217">
        <f>187/6</f>
        <v>31.166666666666668</v>
      </c>
      <c r="D76" s="193">
        <v>27</v>
      </c>
      <c r="E76" s="23">
        <v>75</v>
      </c>
      <c r="F76" s="218">
        <v>3148</v>
      </c>
      <c r="G76" s="11">
        <v>3148</v>
      </c>
      <c r="H76" s="219">
        <f t="shared" si="20"/>
        <v>6296</v>
      </c>
      <c r="I76" s="136">
        <v>3000</v>
      </c>
      <c r="J76" s="219">
        <f t="shared" si="21"/>
        <v>-3296</v>
      </c>
      <c r="K76" s="183"/>
      <c r="L76" s="183"/>
      <c r="M76" s="183"/>
      <c r="N76" s="183"/>
      <c r="O76" s="220">
        <v>4782</v>
      </c>
      <c r="P76" s="221">
        <v>4431.8999999999996</v>
      </c>
      <c r="Q76" s="195">
        <f t="shared" si="22"/>
        <v>9213.9</v>
      </c>
      <c r="R76" s="17">
        <f>(25*B6)+(2*C6)</f>
        <v>13300</v>
      </c>
      <c r="S76" s="17">
        <f t="shared" si="23"/>
        <v>4086.1000000000004</v>
      </c>
      <c r="T76" s="183"/>
      <c r="U76" s="183"/>
      <c r="V76" s="183"/>
      <c r="W76" s="183"/>
      <c r="X76" s="183"/>
      <c r="Y76" s="183"/>
      <c r="Z76" s="183"/>
      <c r="AA76" s="183"/>
      <c r="AB76" s="183"/>
      <c r="AC76" s="211"/>
      <c r="AD76" s="134">
        <f t="shared" si="24"/>
        <v>790.10000000000036</v>
      </c>
      <c r="AE76" s="141">
        <f>AF70*AD76</f>
        <v>158.0200000000001</v>
      </c>
      <c r="AF76" s="222"/>
      <c r="AG76" s="270">
        <f t="shared" si="19"/>
        <v>53470.036882887944</v>
      </c>
      <c r="AH76" s="193"/>
      <c r="AI76" s="193"/>
      <c r="AJ76" s="193"/>
      <c r="AK76" s="193"/>
      <c r="AL76" s="193"/>
      <c r="AM76" s="223">
        <v>6905</v>
      </c>
      <c r="AN76" s="193"/>
      <c r="AO76" s="223">
        <v>6905</v>
      </c>
      <c r="AP76" s="267">
        <f t="shared" si="25"/>
        <v>54260.136882887942</v>
      </c>
    </row>
    <row r="77" spans="1:45" s="197" customFormat="1">
      <c r="A77" s="194" t="s">
        <v>117</v>
      </c>
      <c r="B77" s="52">
        <f>372/6</f>
        <v>62</v>
      </c>
      <c r="C77" s="193">
        <f>378/6</f>
        <v>63</v>
      </c>
      <c r="D77" s="193">
        <v>63</v>
      </c>
      <c r="E77" s="23">
        <v>84</v>
      </c>
      <c r="F77" s="218">
        <v>3148</v>
      </c>
      <c r="G77" s="11">
        <v>3148</v>
      </c>
      <c r="H77" s="219">
        <f t="shared" si="20"/>
        <v>6296</v>
      </c>
      <c r="I77" s="136">
        <v>3000</v>
      </c>
      <c r="J77" s="219">
        <f t="shared" si="21"/>
        <v>-3296</v>
      </c>
      <c r="K77" s="183"/>
      <c r="L77" s="183"/>
      <c r="M77" s="183"/>
      <c r="N77" s="183"/>
      <c r="O77" s="220">
        <v>11859.359999999999</v>
      </c>
      <c r="P77" s="221">
        <v>8958.6</v>
      </c>
      <c r="Q77" s="195">
        <f t="shared" si="22"/>
        <v>20817.96</v>
      </c>
      <c r="R77" s="17">
        <f>(25*B6)+(25*C6)+(13*D6)</f>
        <v>25100</v>
      </c>
      <c r="S77" s="17">
        <f t="shared" si="23"/>
        <v>4282.0400000000009</v>
      </c>
      <c r="T77" s="183"/>
      <c r="U77" s="183"/>
      <c r="V77" s="183"/>
      <c r="W77" s="183"/>
      <c r="X77" s="183"/>
      <c r="Y77" s="183"/>
      <c r="Z77" s="183"/>
      <c r="AA77" s="183"/>
      <c r="AB77" s="183"/>
      <c r="AC77" s="211"/>
      <c r="AD77" s="134">
        <f t="shared" si="24"/>
        <v>986.04000000000087</v>
      </c>
      <c r="AE77" s="141">
        <f>AF70*AD77</f>
        <v>197.2080000000002</v>
      </c>
      <c r="AF77" s="222"/>
      <c r="AG77" s="270">
        <f t="shared" si="19"/>
        <v>66730.281189726433</v>
      </c>
      <c r="AH77" s="193"/>
      <c r="AI77" s="193"/>
      <c r="AJ77" s="193"/>
      <c r="AK77" s="193"/>
      <c r="AL77" s="193"/>
      <c r="AM77" s="223">
        <v>0</v>
      </c>
      <c r="AN77" s="193"/>
      <c r="AO77" s="223">
        <v>0</v>
      </c>
      <c r="AP77" s="267">
        <f t="shared" si="25"/>
        <v>67716.321189726441</v>
      </c>
    </row>
    <row r="78" spans="1:45" s="197" customFormat="1">
      <c r="A78" s="194" t="s">
        <v>118</v>
      </c>
      <c r="B78" s="52">
        <f>363/6</f>
        <v>60.5</v>
      </c>
      <c r="C78" s="217">
        <f>348/6</f>
        <v>58</v>
      </c>
      <c r="D78" s="193">
        <v>62</v>
      </c>
      <c r="E78" s="23">
        <v>88.571428571428569</v>
      </c>
      <c r="F78" s="218">
        <v>3148</v>
      </c>
      <c r="G78" s="11">
        <v>3148</v>
      </c>
      <c r="H78" s="219">
        <f t="shared" si="20"/>
        <v>6296</v>
      </c>
      <c r="I78" s="136">
        <v>3000</v>
      </c>
      <c r="J78" s="219">
        <f t="shared" si="21"/>
        <v>-3296</v>
      </c>
      <c r="K78" s="183"/>
      <c r="L78" s="183"/>
      <c r="M78" s="183"/>
      <c r="N78" s="183"/>
      <c r="O78" s="220">
        <v>11572.44</v>
      </c>
      <c r="P78" s="221">
        <v>8247.6</v>
      </c>
      <c r="Q78" s="195">
        <f t="shared" si="22"/>
        <v>19820.04</v>
      </c>
      <c r="R78" s="17">
        <f>(25*B6)+(25*C6)+(12*D6)</f>
        <v>24900</v>
      </c>
      <c r="S78" s="17">
        <f t="shared" si="23"/>
        <v>5079.9599999999991</v>
      </c>
      <c r="T78" s="183"/>
      <c r="U78" s="183"/>
      <c r="V78" s="183"/>
      <c r="W78" s="183"/>
      <c r="X78" s="183"/>
      <c r="Y78" s="183"/>
      <c r="Z78" s="183"/>
      <c r="AA78" s="183"/>
      <c r="AB78" s="183"/>
      <c r="AC78" s="211"/>
      <c r="AD78" s="134">
        <f t="shared" si="24"/>
        <v>1783.9599999999991</v>
      </c>
      <c r="AE78" s="141">
        <f>AF70*AD78</f>
        <v>356.79199999999986</v>
      </c>
      <c r="AF78" s="222"/>
      <c r="AG78" s="270">
        <f t="shared" si="19"/>
        <v>120729.536764456</v>
      </c>
      <c r="AH78" s="193"/>
      <c r="AI78" s="193"/>
      <c r="AJ78" s="193"/>
      <c r="AK78" s="193"/>
      <c r="AL78" s="193"/>
      <c r="AM78" s="223">
        <v>9475</v>
      </c>
      <c r="AN78" s="193"/>
      <c r="AO78" s="223">
        <v>9475</v>
      </c>
      <c r="AP78" s="267">
        <f t="shared" si="25"/>
        <v>122513.49676445601</v>
      </c>
    </row>
    <row r="79" spans="1:45" s="197" customFormat="1">
      <c r="A79" s="194" t="s">
        <v>119</v>
      </c>
      <c r="B79" s="52">
        <f>394/6</f>
        <v>65.666666666666671</v>
      </c>
      <c r="C79" s="217">
        <f>381/6</f>
        <v>63.5</v>
      </c>
      <c r="D79" s="193">
        <v>67</v>
      </c>
      <c r="E79" s="23">
        <v>84.810126582278471</v>
      </c>
      <c r="F79" s="218">
        <v>3148</v>
      </c>
      <c r="G79" s="11">
        <v>3148</v>
      </c>
      <c r="H79" s="219">
        <f t="shared" si="20"/>
        <v>6296</v>
      </c>
      <c r="I79" s="136">
        <v>3000</v>
      </c>
      <c r="J79" s="219">
        <f t="shared" si="21"/>
        <v>-3296</v>
      </c>
      <c r="K79" s="183"/>
      <c r="L79" s="183"/>
      <c r="M79" s="183"/>
      <c r="N79" s="183"/>
      <c r="O79" s="220">
        <v>12560.72</v>
      </c>
      <c r="P79" s="221">
        <v>9029.6999999999989</v>
      </c>
      <c r="Q79" s="195">
        <f t="shared" si="22"/>
        <v>21590.42</v>
      </c>
      <c r="R79" s="17">
        <f>(25*B6)+(25*C6)+(17*D6)</f>
        <v>25900</v>
      </c>
      <c r="S79" s="17">
        <f t="shared" si="23"/>
        <v>4309.5800000000017</v>
      </c>
      <c r="T79" s="183"/>
      <c r="U79" s="183"/>
      <c r="V79" s="183"/>
      <c r="W79" s="183"/>
      <c r="X79" s="183"/>
      <c r="Y79" s="183"/>
      <c r="Z79" s="183"/>
      <c r="AA79" s="183"/>
      <c r="AB79" s="183"/>
      <c r="AC79" s="211"/>
      <c r="AD79" s="134">
        <f t="shared" si="24"/>
        <v>1013.5800000000017</v>
      </c>
      <c r="AE79" s="141">
        <f>AF70*AD79</f>
        <v>202.71600000000035</v>
      </c>
      <c r="AF79" s="222"/>
      <c r="AG79" s="270">
        <f t="shared" si="19"/>
        <v>68594.051365343155</v>
      </c>
      <c r="AH79" s="193"/>
      <c r="AI79" s="193"/>
      <c r="AJ79" s="193"/>
      <c r="AK79" s="193"/>
      <c r="AL79" s="193"/>
      <c r="AM79" s="223">
        <v>29221.83</v>
      </c>
      <c r="AN79" s="193"/>
      <c r="AO79" s="223">
        <v>29221.83</v>
      </c>
      <c r="AP79" s="267">
        <f t="shared" si="25"/>
        <v>69607.631365343157</v>
      </c>
    </row>
    <row r="80" spans="1:45" s="197" customFormat="1">
      <c r="A80" s="194" t="s">
        <v>120</v>
      </c>
      <c r="B80" s="52">
        <f>172/6</f>
        <v>28.666666666666668</v>
      </c>
      <c r="C80" s="217">
        <f>217/6</f>
        <v>36.166666666666664</v>
      </c>
      <c r="D80" s="193">
        <v>37</v>
      </c>
      <c r="E80" s="23">
        <v>100</v>
      </c>
      <c r="F80" s="218">
        <v>3148</v>
      </c>
      <c r="G80" s="11">
        <v>3148</v>
      </c>
      <c r="H80" s="219">
        <f t="shared" si="20"/>
        <v>6296</v>
      </c>
      <c r="I80" s="136">
        <v>3000</v>
      </c>
      <c r="J80" s="219">
        <f t="shared" si="21"/>
        <v>-3296</v>
      </c>
      <c r="K80" s="183"/>
      <c r="L80" s="183"/>
      <c r="M80" s="183"/>
      <c r="N80" s="183"/>
      <c r="O80" s="220">
        <v>5483.36</v>
      </c>
      <c r="P80" s="221">
        <v>5142.8999999999996</v>
      </c>
      <c r="Q80" s="195">
        <f t="shared" si="22"/>
        <v>10626.259999999998</v>
      </c>
      <c r="R80" s="17">
        <f>(25*B6)+(12*C6)</f>
        <v>17300</v>
      </c>
      <c r="S80" s="17">
        <f t="shared" si="23"/>
        <v>6673.7400000000016</v>
      </c>
      <c r="T80" s="183" t="s">
        <v>121</v>
      </c>
      <c r="U80" s="183"/>
      <c r="V80" s="183"/>
      <c r="W80" s="183"/>
      <c r="X80" s="183"/>
      <c r="Y80" s="183"/>
      <c r="Z80" s="183"/>
      <c r="AA80" s="183"/>
      <c r="AB80" s="183"/>
      <c r="AC80" s="211"/>
      <c r="AD80" s="134">
        <f t="shared" si="24"/>
        <v>3377.7400000000016</v>
      </c>
      <c r="AE80" s="141">
        <f>AF70*AD80</f>
        <v>675.54800000000034</v>
      </c>
      <c r="AF80" s="222"/>
      <c r="AG80" s="270">
        <f t="shared" si="19"/>
        <v>228588.63736337921</v>
      </c>
      <c r="AH80" s="193"/>
      <c r="AI80" s="193"/>
      <c r="AJ80" s="193"/>
      <c r="AK80" s="193"/>
      <c r="AL80" s="193"/>
      <c r="AM80" s="223">
        <v>456</v>
      </c>
      <c r="AN80" s="193"/>
      <c r="AO80" s="223">
        <v>456</v>
      </c>
      <c r="AP80" s="267">
        <f t="shared" si="25"/>
        <v>231966.3773633792</v>
      </c>
    </row>
    <row r="81" spans="1:42" s="197" customFormat="1">
      <c r="A81" s="192" t="s">
        <v>101</v>
      </c>
      <c r="B81" s="193"/>
      <c r="C81" s="193"/>
      <c r="D81" s="192">
        <f>SUM(D71:D80)</f>
        <v>554</v>
      </c>
      <c r="E81" s="193"/>
      <c r="F81" s="209">
        <f>SUM(F71:F80)</f>
        <v>31480</v>
      </c>
      <c r="G81" s="193"/>
      <c r="H81" s="210">
        <f>SUM(H71:H80)</f>
        <v>62960</v>
      </c>
      <c r="I81" s="13">
        <f>SUM(I71:I80)</f>
        <v>30000</v>
      </c>
      <c r="J81" s="210">
        <f>SUM(J71:J80)</f>
        <v>-32960</v>
      </c>
      <c r="K81" s="183"/>
      <c r="L81" s="183"/>
      <c r="M81" s="183"/>
      <c r="N81" s="183"/>
      <c r="O81" s="225">
        <f>SUM(O71:O80)</f>
        <v>105395.28</v>
      </c>
      <c r="P81" s="62">
        <f>SUM(P71:P80)</f>
        <v>78162.599999999991</v>
      </c>
      <c r="Q81" s="209">
        <f>SUM(Q71:Q80)</f>
        <v>183557.88</v>
      </c>
      <c r="R81" s="210">
        <f>SUM(R71:R80)</f>
        <v>217700</v>
      </c>
      <c r="S81" s="210">
        <f>SUM(S71:S80)</f>
        <v>34142.12000000001</v>
      </c>
      <c r="T81" s="226">
        <f>J81+S81</f>
        <v>1182.1200000000099</v>
      </c>
      <c r="U81" s="183"/>
      <c r="V81" s="183"/>
      <c r="W81" s="183"/>
      <c r="X81" s="183"/>
      <c r="Y81" s="226"/>
      <c r="Z81" s="183"/>
      <c r="AA81" s="183"/>
      <c r="AB81" s="183"/>
      <c r="AC81" s="211"/>
      <c r="AD81" s="210">
        <f t="shared" si="24"/>
        <v>1182.1200000000099</v>
      </c>
      <c r="AE81" s="257">
        <f>SUM(AE71:AE80)</f>
        <v>236.42400000000191</v>
      </c>
      <c r="AF81" s="210">
        <f>AD81-AE81</f>
        <v>945.69600000000798</v>
      </c>
      <c r="AG81" s="227">
        <v>80000</v>
      </c>
      <c r="AH81" s="193"/>
      <c r="AI81" s="193"/>
      <c r="AJ81" s="193"/>
      <c r="AK81" s="193"/>
      <c r="AL81" s="193"/>
      <c r="AM81" s="194"/>
      <c r="AN81" s="193"/>
      <c r="AO81" s="194"/>
      <c r="AP81" s="267">
        <f t="shared" si="25"/>
        <v>81182.12000000001</v>
      </c>
    </row>
    <row r="82" spans="1:42" s="197" customFormat="1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211"/>
      <c r="S82" s="211"/>
      <c r="T82" s="183"/>
      <c r="U82" s="183"/>
      <c r="V82" s="183"/>
      <c r="W82" s="183"/>
      <c r="X82" s="183"/>
      <c r="Y82" s="183"/>
      <c r="Z82" s="183"/>
      <c r="AA82" s="183"/>
      <c r="AB82" s="183"/>
      <c r="AC82" s="211"/>
      <c r="AE82" s="211"/>
      <c r="AF82" s="211"/>
      <c r="AG82" s="211"/>
      <c r="AH82" s="183"/>
      <c r="AI82" s="183"/>
      <c r="AJ82" s="183"/>
      <c r="AK82" s="183"/>
      <c r="AL82" s="183"/>
      <c r="AM82" s="183"/>
      <c r="AN82" s="183"/>
      <c r="AO82" s="225">
        <f>SUM(AO71:AO81)</f>
        <v>126468.83</v>
      </c>
    </row>
    <row r="83" spans="1:42" s="197" customFormat="1" ht="18.75">
      <c r="A83" s="246" t="s">
        <v>122</v>
      </c>
      <c r="B83" s="183"/>
      <c r="C83" s="183"/>
      <c r="D83" s="249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211"/>
      <c r="S83" s="211"/>
      <c r="T83" s="183"/>
      <c r="U83" s="183"/>
      <c r="V83" s="183"/>
      <c r="W83" s="183"/>
      <c r="X83" s="183"/>
      <c r="Y83" s="183"/>
      <c r="Z83" s="183"/>
      <c r="AA83" s="183"/>
      <c r="AB83" s="183"/>
      <c r="AC83" s="211"/>
      <c r="AE83" s="211"/>
      <c r="AF83" s="211"/>
      <c r="AG83" s="211"/>
      <c r="AH83" s="183"/>
      <c r="AI83" s="183"/>
      <c r="AJ83" s="183"/>
      <c r="AK83" s="183"/>
      <c r="AL83" s="183"/>
      <c r="AM83" s="183"/>
      <c r="AN83" s="183"/>
      <c r="AO83" s="183"/>
    </row>
    <row r="84" spans="1:42" s="197" customFormat="1">
      <c r="A84" s="228" t="s">
        <v>123</v>
      </c>
      <c r="B84" s="193">
        <v>46</v>
      </c>
      <c r="C84" s="193"/>
      <c r="D84" s="193">
        <v>45</v>
      </c>
      <c r="E84" s="23">
        <v>97.826086956521735</v>
      </c>
      <c r="F84" s="11">
        <v>2000</v>
      </c>
      <c r="G84" s="137">
        <v>2700</v>
      </c>
      <c r="H84" s="219">
        <f>F84+G84</f>
        <v>4700</v>
      </c>
      <c r="I84" s="136">
        <v>3000</v>
      </c>
      <c r="J84" s="219">
        <f>I84-H84</f>
        <v>-1700</v>
      </c>
      <c r="K84" s="183"/>
      <c r="L84" s="183"/>
      <c r="M84" s="183"/>
      <c r="N84" s="183"/>
      <c r="O84" s="23">
        <v>2710</v>
      </c>
      <c r="P84" s="193">
        <v>5315.7</v>
      </c>
      <c r="Q84" s="133">
        <f>O84+P84</f>
        <v>8025.7</v>
      </c>
      <c r="R84" s="17">
        <f>(25*B6)+(21*C6)</f>
        <v>20900</v>
      </c>
      <c r="S84" s="17">
        <f>R84-Q84</f>
        <v>12874.3</v>
      </c>
      <c r="T84" s="183"/>
      <c r="U84" s="183"/>
      <c r="V84" s="183"/>
      <c r="W84" s="183"/>
      <c r="X84" s="183"/>
      <c r="Y84" s="183"/>
      <c r="Z84" s="183"/>
      <c r="AA84" s="183"/>
      <c r="AB84" s="183"/>
      <c r="AC84" s="211"/>
      <c r="AD84" s="267">
        <f>J84+S84</f>
        <v>11174.3</v>
      </c>
      <c r="AE84" s="229"/>
      <c r="AF84" s="267"/>
      <c r="AG84" s="253"/>
      <c r="AH84" s="183"/>
      <c r="AI84" s="183"/>
      <c r="AJ84" s="183"/>
      <c r="AK84" s="183"/>
      <c r="AL84" s="183"/>
      <c r="AM84" s="193"/>
      <c r="AN84" s="183"/>
      <c r="AO84" s="183"/>
    </row>
    <row r="85" spans="1:42" s="197" customFormat="1">
      <c r="A85" s="233" t="s">
        <v>124</v>
      </c>
      <c r="B85" s="194"/>
      <c r="C85" s="193"/>
      <c r="D85" s="194"/>
      <c r="E85" s="18"/>
      <c r="F85" s="11"/>
      <c r="G85" s="138">
        <v>0</v>
      </c>
      <c r="H85" s="219">
        <f t="shared" ref="H85:H97" si="26">F85+G85</f>
        <v>0</v>
      </c>
      <c r="I85" s="136">
        <v>0</v>
      </c>
      <c r="J85" s="219">
        <f t="shared" ref="J85:J97" si="27">I85-H85</f>
        <v>0</v>
      </c>
      <c r="K85" s="183"/>
      <c r="L85" s="183"/>
      <c r="M85" s="183"/>
      <c r="N85" s="183"/>
      <c r="O85" s="23"/>
      <c r="P85" s="193">
        <v>0</v>
      </c>
      <c r="Q85" s="133">
        <f t="shared" ref="Q85:Q97" si="28">O85+P85</f>
        <v>0</v>
      </c>
      <c r="R85" s="17"/>
      <c r="S85" s="17">
        <f t="shared" ref="S85:S97" si="29">R85-Q85</f>
        <v>0</v>
      </c>
      <c r="T85" s="183"/>
      <c r="U85" s="183"/>
      <c r="V85" s="183"/>
      <c r="W85" s="183"/>
      <c r="X85" s="183"/>
      <c r="Y85" s="183"/>
      <c r="Z85" s="183"/>
      <c r="AA85" s="183"/>
      <c r="AB85" s="183"/>
      <c r="AC85" s="211"/>
      <c r="AD85" s="262">
        <f t="shared" ref="AD85:AD97" si="30">J85+S85</f>
        <v>0</v>
      </c>
      <c r="AE85" s="229"/>
      <c r="AF85" s="267"/>
      <c r="AG85" s="253"/>
      <c r="AH85" s="183"/>
      <c r="AI85" s="183"/>
      <c r="AJ85" s="183"/>
      <c r="AK85" s="183"/>
      <c r="AL85" s="183"/>
      <c r="AM85" s="193"/>
      <c r="AN85" s="183"/>
      <c r="AO85" s="183"/>
    </row>
    <row r="86" spans="1:42" s="197" customFormat="1">
      <c r="A86" s="230" t="s">
        <v>125</v>
      </c>
      <c r="B86" s="194">
        <v>23</v>
      </c>
      <c r="C86" s="193">
        <v>20</v>
      </c>
      <c r="D86" s="194">
        <v>34</v>
      </c>
      <c r="E86" s="18">
        <v>147.82608695652172</v>
      </c>
      <c r="F86" s="17">
        <v>2000</v>
      </c>
      <c r="G86" s="139">
        <v>2700</v>
      </c>
      <c r="H86" s="219">
        <f t="shared" si="26"/>
        <v>4700</v>
      </c>
      <c r="I86" s="136">
        <v>3000</v>
      </c>
      <c r="J86" s="219">
        <f t="shared" si="27"/>
        <v>-1700</v>
      </c>
      <c r="K86" s="183"/>
      <c r="L86" s="183"/>
      <c r="M86" s="183"/>
      <c r="N86" s="183"/>
      <c r="O86" s="18">
        <v>0</v>
      </c>
      <c r="P86" s="193">
        <v>0</v>
      </c>
      <c r="Q86" s="133">
        <f t="shared" si="28"/>
        <v>0</v>
      </c>
      <c r="R86" s="17">
        <f>(25*B6)+(9*C6)</f>
        <v>16100</v>
      </c>
      <c r="S86" s="17">
        <f t="shared" si="29"/>
        <v>16100</v>
      </c>
      <c r="T86" s="183"/>
      <c r="U86" s="183"/>
      <c r="V86" s="183"/>
      <c r="W86" s="183"/>
      <c r="X86" s="183"/>
      <c r="Y86" s="183"/>
      <c r="Z86" s="183"/>
      <c r="AA86" s="183"/>
      <c r="AB86" s="183"/>
      <c r="AC86" s="211"/>
      <c r="AD86" s="262">
        <f t="shared" si="30"/>
        <v>14400</v>
      </c>
      <c r="AE86" s="229"/>
      <c r="AF86" s="267"/>
      <c r="AG86" s="253"/>
      <c r="AH86" s="183"/>
      <c r="AI86" s="183"/>
      <c r="AJ86" s="183"/>
      <c r="AK86" s="183"/>
      <c r="AL86" s="183"/>
      <c r="AM86" s="193">
        <v>0</v>
      </c>
      <c r="AN86" s="183"/>
      <c r="AO86" s="183"/>
    </row>
    <row r="87" spans="1:42" s="197" customFormat="1">
      <c r="A87" s="230" t="s">
        <v>126</v>
      </c>
      <c r="B87" s="193">
        <v>52</v>
      </c>
      <c r="C87" s="193">
        <v>52</v>
      </c>
      <c r="D87" s="193">
        <v>38</v>
      </c>
      <c r="E87" s="23">
        <v>73.076923076923066</v>
      </c>
      <c r="F87" s="11">
        <v>2000</v>
      </c>
      <c r="G87" s="139">
        <v>2700</v>
      </c>
      <c r="H87" s="219">
        <f t="shared" si="26"/>
        <v>4700</v>
      </c>
      <c r="I87" s="136">
        <v>3000</v>
      </c>
      <c r="J87" s="219">
        <f t="shared" si="27"/>
        <v>-1700</v>
      </c>
      <c r="K87" s="183"/>
      <c r="L87" s="183"/>
      <c r="M87" s="183"/>
      <c r="N87" s="183"/>
      <c r="O87" s="23">
        <v>0</v>
      </c>
      <c r="P87" s="194">
        <v>4524</v>
      </c>
      <c r="Q87" s="133">
        <f t="shared" si="28"/>
        <v>4524</v>
      </c>
      <c r="R87" s="17">
        <f>(25*B6)+(13*C6)</f>
        <v>17700</v>
      </c>
      <c r="S87" s="17">
        <f t="shared" si="29"/>
        <v>13176</v>
      </c>
      <c r="T87" s="183"/>
      <c r="U87" s="183"/>
      <c r="V87" s="183"/>
      <c r="W87" s="183"/>
      <c r="X87" s="183"/>
      <c r="Y87" s="183"/>
      <c r="Z87" s="183"/>
      <c r="AA87" s="183"/>
      <c r="AB87" s="183"/>
      <c r="AC87" s="211"/>
      <c r="AD87" s="262">
        <f t="shared" si="30"/>
        <v>11476</v>
      </c>
      <c r="AE87" s="229"/>
      <c r="AF87" s="267"/>
      <c r="AG87" s="253"/>
      <c r="AH87" s="183"/>
      <c r="AI87" s="183"/>
      <c r="AJ87" s="183"/>
      <c r="AK87" s="183"/>
      <c r="AL87" s="183"/>
      <c r="AM87" s="194"/>
      <c r="AN87" s="183"/>
      <c r="AO87" s="183"/>
    </row>
    <row r="88" spans="1:42" s="197" customFormat="1">
      <c r="A88" s="232" t="s">
        <v>127</v>
      </c>
      <c r="B88" s="193">
        <v>10</v>
      </c>
      <c r="C88" s="193">
        <v>10</v>
      </c>
      <c r="D88" s="193">
        <v>10</v>
      </c>
      <c r="E88" s="23">
        <v>100</v>
      </c>
      <c r="F88" s="11">
        <v>2000</v>
      </c>
      <c r="G88" s="139">
        <v>2700</v>
      </c>
      <c r="H88" s="219">
        <f t="shared" si="26"/>
        <v>4700</v>
      </c>
      <c r="I88" s="136">
        <v>3000</v>
      </c>
      <c r="J88" s="219">
        <f t="shared" si="27"/>
        <v>-1700</v>
      </c>
      <c r="K88" s="183"/>
      <c r="L88" s="183"/>
      <c r="M88" s="183"/>
      <c r="N88" s="183"/>
      <c r="O88" s="23">
        <v>942.50000000000011</v>
      </c>
      <c r="P88" s="194">
        <v>1131</v>
      </c>
      <c r="Q88" s="133">
        <f t="shared" si="28"/>
        <v>2073.5</v>
      </c>
      <c r="R88" s="17">
        <f>(10*B6)</f>
        <v>5000</v>
      </c>
      <c r="S88" s="17">
        <f t="shared" si="29"/>
        <v>2926.5</v>
      </c>
      <c r="T88" s="183"/>
      <c r="U88" s="183"/>
      <c r="V88" s="183"/>
      <c r="W88" s="183"/>
      <c r="X88" s="183"/>
      <c r="Y88" s="183"/>
      <c r="Z88" s="183"/>
      <c r="AA88" s="183"/>
      <c r="AB88" s="183"/>
      <c r="AC88" s="211"/>
      <c r="AD88" s="262">
        <f t="shared" si="30"/>
        <v>1226.5</v>
      </c>
      <c r="AE88" s="229"/>
      <c r="AF88" s="267"/>
      <c r="AG88" s="253"/>
      <c r="AH88" s="183"/>
      <c r="AI88" s="183"/>
      <c r="AJ88" s="183"/>
      <c r="AK88" s="183"/>
      <c r="AL88" s="183"/>
      <c r="AM88" s="194">
        <v>275</v>
      </c>
      <c r="AN88" s="183"/>
      <c r="AO88" s="183"/>
    </row>
    <row r="89" spans="1:42" s="197" customFormat="1">
      <c r="A89" s="228" t="s">
        <v>128</v>
      </c>
      <c r="B89" s="193">
        <v>20</v>
      </c>
      <c r="C89" s="193">
        <v>23</v>
      </c>
      <c r="D89" s="193">
        <v>19</v>
      </c>
      <c r="E89" s="23">
        <v>95</v>
      </c>
      <c r="F89" s="11">
        <v>2000</v>
      </c>
      <c r="G89" s="139">
        <v>2700</v>
      </c>
      <c r="H89" s="219">
        <f t="shared" si="26"/>
        <v>4700</v>
      </c>
      <c r="I89" s="136">
        <v>3000</v>
      </c>
      <c r="J89" s="219">
        <f t="shared" si="27"/>
        <v>-1700</v>
      </c>
      <c r="K89" s="183"/>
      <c r="L89" s="183"/>
      <c r="M89" s="183"/>
      <c r="N89" s="183"/>
      <c r="O89" s="23">
        <v>1140</v>
      </c>
      <c r="P89" s="194">
        <v>2601.3000000000002</v>
      </c>
      <c r="Q89" s="133">
        <f t="shared" si="28"/>
        <v>3741.3</v>
      </c>
      <c r="R89" s="17">
        <f>(19*B6)</f>
        <v>9500</v>
      </c>
      <c r="S89" s="17">
        <f t="shared" si="29"/>
        <v>5758.7</v>
      </c>
      <c r="T89" s="183"/>
      <c r="U89" s="183"/>
      <c r="V89" s="183"/>
      <c r="W89" s="183"/>
      <c r="X89" s="183"/>
      <c r="Y89" s="183"/>
      <c r="Z89" s="183"/>
      <c r="AA89" s="183"/>
      <c r="AB89" s="183"/>
      <c r="AC89" s="211"/>
      <c r="AD89" s="262">
        <f t="shared" si="30"/>
        <v>4058.7</v>
      </c>
      <c r="AE89" s="229"/>
      <c r="AF89" s="267"/>
      <c r="AG89" s="253"/>
      <c r="AH89" s="183"/>
      <c r="AI89" s="183"/>
      <c r="AJ89" s="183"/>
      <c r="AK89" s="183"/>
      <c r="AL89" s="183"/>
      <c r="AM89" s="150">
        <v>3000</v>
      </c>
      <c r="AN89" s="183"/>
      <c r="AO89" s="183"/>
    </row>
    <row r="90" spans="1:42">
      <c r="A90" s="233" t="s">
        <v>129</v>
      </c>
      <c r="B90" s="193">
        <v>71</v>
      </c>
      <c r="C90" s="193">
        <v>71</v>
      </c>
      <c r="D90" s="193">
        <v>62</v>
      </c>
      <c r="E90" s="23">
        <v>87.323943661971825</v>
      </c>
      <c r="F90" s="11">
        <v>0</v>
      </c>
      <c r="G90" s="139">
        <v>2700</v>
      </c>
      <c r="H90" s="219">
        <f t="shared" si="26"/>
        <v>2700</v>
      </c>
      <c r="I90" s="136">
        <v>3000</v>
      </c>
      <c r="J90" s="219">
        <f t="shared" si="27"/>
        <v>300</v>
      </c>
      <c r="O90" s="23">
        <v>7012.2000000000007</v>
      </c>
      <c r="P90" s="194">
        <v>7012.2</v>
      </c>
      <c r="Q90" s="133">
        <f t="shared" si="28"/>
        <v>14024.400000000001</v>
      </c>
      <c r="R90" s="17">
        <f>(25*B6)+(25*C6)+(12*D6)</f>
        <v>24900</v>
      </c>
      <c r="S90" s="17">
        <f t="shared" si="29"/>
        <v>10875.599999999999</v>
      </c>
      <c r="AD90" s="262">
        <f t="shared" si="30"/>
        <v>11175.599999999999</v>
      </c>
      <c r="AE90" s="229"/>
      <c r="AF90" s="267"/>
      <c r="AG90" s="253"/>
      <c r="AM90" s="193"/>
    </row>
    <row r="91" spans="1:42">
      <c r="A91" s="233" t="s">
        <v>130</v>
      </c>
      <c r="B91" s="193">
        <v>0</v>
      </c>
      <c r="C91" s="193">
        <v>170</v>
      </c>
      <c r="D91" s="193">
        <f>822/6</f>
        <v>137</v>
      </c>
      <c r="E91" s="23"/>
      <c r="F91" s="11">
        <v>2000</v>
      </c>
      <c r="G91" s="139">
        <v>2700</v>
      </c>
      <c r="H91" s="219">
        <f t="shared" si="26"/>
        <v>4700</v>
      </c>
      <c r="I91" s="136">
        <v>3000</v>
      </c>
      <c r="J91" s="219">
        <f t="shared" si="27"/>
        <v>-1700</v>
      </c>
      <c r="O91" s="23">
        <v>8220</v>
      </c>
      <c r="P91" s="194">
        <v>15494.7</v>
      </c>
      <c r="Q91" s="133">
        <f t="shared" si="28"/>
        <v>23714.7</v>
      </c>
      <c r="R91" s="17">
        <f>(25*B6)+(25*C6)+(50*D6)+(37*Q6)</f>
        <v>36200</v>
      </c>
      <c r="S91" s="17">
        <f t="shared" si="29"/>
        <v>12485.3</v>
      </c>
      <c r="AD91" s="262">
        <f t="shared" si="30"/>
        <v>10785.3</v>
      </c>
      <c r="AE91" s="229"/>
      <c r="AF91" s="267"/>
      <c r="AG91" s="253"/>
      <c r="AM91" s="193">
        <v>0</v>
      </c>
    </row>
    <row r="92" spans="1:42">
      <c r="A92" s="230" t="s">
        <v>131</v>
      </c>
      <c r="B92" s="193">
        <v>171</v>
      </c>
      <c r="C92" s="193">
        <v>169</v>
      </c>
      <c r="D92" s="193">
        <v>57</v>
      </c>
      <c r="E92" s="23">
        <v>33.333333333333329</v>
      </c>
      <c r="F92" s="11">
        <v>2000</v>
      </c>
      <c r="G92" s="139">
        <v>2700</v>
      </c>
      <c r="H92" s="219">
        <f t="shared" si="26"/>
        <v>4700</v>
      </c>
      <c r="I92" s="136">
        <v>3000</v>
      </c>
      <c r="J92" s="219">
        <f t="shared" si="27"/>
        <v>-1700</v>
      </c>
      <c r="O92" s="23">
        <v>6316.74</v>
      </c>
      <c r="P92" s="194">
        <v>6220.5</v>
      </c>
      <c r="Q92" s="133">
        <f t="shared" si="28"/>
        <v>12537.24</v>
      </c>
      <c r="R92" s="17">
        <f>(25*B6)+(25*C6)+(7*D6)</f>
        <v>23900</v>
      </c>
      <c r="S92" s="17">
        <f t="shared" si="29"/>
        <v>11362.76</v>
      </c>
      <c r="AD92" s="262">
        <f t="shared" si="30"/>
        <v>9662.76</v>
      </c>
      <c r="AE92" s="229"/>
      <c r="AF92" s="267"/>
      <c r="AG92" s="253"/>
      <c r="AM92" s="193"/>
    </row>
    <row r="93" spans="1:42">
      <c r="A93" s="233" t="s">
        <v>132</v>
      </c>
      <c r="B93" s="193">
        <v>100</v>
      </c>
      <c r="C93" s="193">
        <v>100</v>
      </c>
      <c r="D93" s="193">
        <v>65</v>
      </c>
      <c r="E93" s="23">
        <v>65</v>
      </c>
      <c r="F93" s="11">
        <v>2000</v>
      </c>
      <c r="G93" s="139">
        <v>2700</v>
      </c>
      <c r="H93" s="219">
        <f t="shared" si="26"/>
        <v>4700</v>
      </c>
      <c r="I93" s="136">
        <v>3000</v>
      </c>
      <c r="J93" s="219">
        <f t="shared" si="27"/>
        <v>-1700</v>
      </c>
      <c r="O93" s="23">
        <v>0</v>
      </c>
      <c r="P93" s="194">
        <v>0</v>
      </c>
      <c r="Q93" s="133">
        <f t="shared" si="28"/>
        <v>0</v>
      </c>
      <c r="R93" s="17">
        <f>(25*B6)+(25*C6)+(15*D6)</f>
        <v>25500</v>
      </c>
      <c r="S93" s="17">
        <f t="shared" si="29"/>
        <v>25500</v>
      </c>
      <c r="AD93" s="262">
        <f t="shared" si="30"/>
        <v>23800</v>
      </c>
      <c r="AE93" s="229"/>
      <c r="AF93" s="267"/>
      <c r="AG93" s="253"/>
      <c r="AM93" s="193"/>
    </row>
    <row r="94" spans="1:42">
      <c r="A94" s="234" t="s">
        <v>133</v>
      </c>
      <c r="B94" s="193"/>
      <c r="C94" s="193">
        <v>0</v>
      </c>
      <c r="D94" s="193"/>
      <c r="E94" s="23"/>
      <c r="F94" s="11"/>
      <c r="G94" s="137">
        <v>0</v>
      </c>
      <c r="H94" s="219">
        <f t="shared" si="26"/>
        <v>0</v>
      </c>
      <c r="I94" s="136">
        <v>0</v>
      </c>
      <c r="J94" s="219">
        <f t="shared" si="27"/>
        <v>0</v>
      </c>
      <c r="O94" s="23"/>
      <c r="P94" s="193">
        <v>0</v>
      </c>
      <c r="Q94" s="133">
        <f t="shared" si="28"/>
        <v>0</v>
      </c>
      <c r="R94" s="17"/>
      <c r="S94" s="17">
        <f t="shared" si="29"/>
        <v>0</v>
      </c>
      <c r="AD94" s="262">
        <f t="shared" si="30"/>
        <v>0</v>
      </c>
      <c r="AE94" s="229"/>
      <c r="AF94" s="267"/>
      <c r="AG94" s="253"/>
      <c r="AM94" s="193">
        <v>0</v>
      </c>
    </row>
    <row r="95" spans="1:42">
      <c r="A95" s="234" t="s">
        <v>134</v>
      </c>
      <c r="B95" s="193">
        <v>23</v>
      </c>
      <c r="C95" s="193">
        <v>25</v>
      </c>
      <c r="D95" s="193">
        <v>13</v>
      </c>
      <c r="E95" s="23">
        <v>56.521739130434781</v>
      </c>
      <c r="F95" s="11">
        <v>2000</v>
      </c>
      <c r="G95" s="137">
        <v>2700</v>
      </c>
      <c r="H95" s="219">
        <f t="shared" si="26"/>
        <v>4700</v>
      </c>
      <c r="I95" s="136">
        <v>3000</v>
      </c>
      <c r="J95" s="219">
        <f t="shared" si="27"/>
        <v>-1700</v>
      </c>
      <c r="O95" s="23">
        <v>780</v>
      </c>
      <c r="P95" s="193">
        <v>1470.3</v>
      </c>
      <c r="Q95" s="133">
        <f t="shared" si="28"/>
        <v>2250.3000000000002</v>
      </c>
      <c r="R95" s="17">
        <f>(13*B6)</f>
        <v>6500</v>
      </c>
      <c r="S95" s="17">
        <f t="shared" si="29"/>
        <v>4249.7</v>
      </c>
      <c r="AD95" s="262">
        <f t="shared" si="30"/>
        <v>2549.6999999999998</v>
      </c>
      <c r="AE95" s="229"/>
      <c r="AF95" s="267"/>
      <c r="AG95" s="253"/>
      <c r="AM95" s="193"/>
    </row>
    <row r="96" spans="1:42">
      <c r="A96" s="194" t="s">
        <v>135</v>
      </c>
      <c r="B96" s="193">
        <v>147</v>
      </c>
      <c r="C96" s="193"/>
      <c r="D96" s="193">
        <v>147</v>
      </c>
      <c r="E96" s="23">
        <v>100</v>
      </c>
      <c r="F96" s="11">
        <v>2000</v>
      </c>
      <c r="G96" s="137">
        <v>2700</v>
      </c>
      <c r="H96" s="219">
        <f t="shared" si="26"/>
        <v>4700</v>
      </c>
      <c r="I96" s="136">
        <v>3000</v>
      </c>
      <c r="J96" s="219">
        <f t="shared" si="27"/>
        <v>-1700</v>
      </c>
      <c r="O96" s="23">
        <v>5660</v>
      </c>
      <c r="P96" s="193">
        <v>8162.05</v>
      </c>
      <c r="Q96" s="133">
        <f t="shared" si="28"/>
        <v>13822.05</v>
      </c>
      <c r="R96" s="17">
        <f>(25*B6)+(25*C6)+(50*D6)+(47*Q6)</f>
        <v>37200</v>
      </c>
      <c r="S96" s="17">
        <f t="shared" si="29"/>
        <v>23377.95</v>
      </c>
      <c r="AD96" s="262">
        <f t="shared" si="30"/>
        <v>21677.95</v>
      </c>
      <c r="AE96" s="229"/>
      <c r="AF96" s="267"/>
      <c r="AG96" s="253"/>
      <c r="AM96" s="193">
        <v>0</v>
      </c>
    </row>
    <row r="97" spans="1:39" ht="30">
      <c r="A97" s="235" t="s">
        <v>136</v>
      </c>
      <c r="B97" s="193">
        <v>30</v>
      </c>
      <c r="C97" s="193">
        <v>12</v>
      </c>
      <c r="D97" s="193">
        <v>27</v>
      </c>
      <c r="E97" s="23">
        <v>90</v>
      </c>
      <c r="F97" s="11">
        <v>2000</v>
      </c>
      <c r="G97" s="140">
        <v>2700</v>
      </c>
      <c r="H97" s="219">
        <f t="shared" si="26"/>
        <v>4700</v>
      </c>
      <c r="I97" s="136">
        <v>3000</v>
      </c>
      <c r="J97" s="219">
        <f t="shared" si="27"/>
        <v>-1700</v>
      </c>
      <c r="O97" s="23">
        <v>0</v>
      </c>
      <c r="P97" s="193">
        <v>0</v>
      </c>
      <c r="Q97" s="133">
        <f t="shared" si="28"/>
        <v>0</v>
      </c>
      <c r="R97" s="17">
        <f>(25*B6)+(2*C6)</f>
        <v>13300</v>
      </c>
      <c r="S97" s="17">
        <f t="shared" si="29"/>
        <v>13300</v>
      </c>
      <c r="T97" s="183" t="s">
        <v>137</v>
      </c>
      <c r="AD97" s="262">
        <f t="shared" si="30"/>
        <v>11600</v>
      </c>
      <c r="AE97" s="229"/>
      <c r="AF97" s="267"/>
      <c r="AG97" s="253"/>
      <c r="AM97" s="193">
        <v>0</v>
      </c>
    </row>
    <row r="98" spans="1:39" ht="15.75" thickBot="1">
      <c r="A98" s="192" t="s">
        <v>101</v>
      </c>
      <c r="B98" s="193"/>
      <c r="C98" s="193"/>
      <c r="D98" s="192">
        <f>SUM(D84:D97)</f>
        <v>654</v>
      </c>
      <c r="F98" s="210">
        <f>SUM(F84:F97)</f>
        <v>22000</v>
      </c>
      <c r="H98" s="210">
        <f>SUM(H84:H97)</f>
        <v>54400</v>
      </c>
      <c r="I98" s="135">
        <f>SUM(I84:I97)</f>
        <v>36000</v>
      </c>
      <c r="J98" s="210">
        <f>SUM(J84:J97)</f>
        <v>-18400</v>
      </c>
      <c r="O98" s="42">
        <f>SUM(O84:O97)</f>
        <v>32781.440000000002</v>
      </c>
      <c r="P98" s="192">
        <f>SUM(P84:P97)</f>
        <v>51931.750000000007</v>
      </c>
      <c r="Q98" s="42">
        <f>SUM(Q84:Q97)</f>
        <v>84713.190000000017</v>
      </c>
      <c r="R98" s="210">
        <f>SUM(R84:R97)</f>
        <v>236700</v>
      </c>
      <c r="S98" s="210">
        <f>SUM(S84:S97)</f>
        <v>151986.81</v>
      </c>
      <c r="T98" s="226">
        <f>J98+S98</f>
        <v>133586.81</v>
      </c>
      <c r="AD98" s="263">
        <f>SUM(AD84:AD97)</f>
        <v>133586.81</v>
      </c>
      <c r="AE98" s="257"/>
      <c r="AF98" s="210"/>
      <c r="AG98" s="250"/>
      <c r="AM98" s="135">
        <v>3275</v>
      </c>
    </row>
    <row r="100" spans="1:39">
      <c r="A100" s="238" t="s">
        <v>138</v>
      </c>
      <c r="D100" s="239">
        <f>D67+D81+D98</f>
        <v>8884</v>
      </c>
      <c r="H100" s="240">
        <f>H67+H81+H98</f>
        <v>406183.5</v>
      </c>
      <c r="I100" s="239">
        <f>I67+I81+I98</f>
        <v>279000</v>
      </c>
      <c r="Q100" s="78">
        <f>Q67+Q81+Q98</f>
        <v>1209153.8699999996</v>
      </c>
      <c r="R100" s="115">
        <f>R67+R81+R98</f>
        <v>1629125</v>
      </c>
      <c r="AE100" s="251"/>
      <c r="AF100" s="251"/>
      <c r="AG100" s="251"/>
    </row>
    <row r="101" spans="1:39">
      <c r="AE101" s="252"/>
      <c r="AF101" s="252"/>
      <c r="AG101" s="252"/>
    </row>
    <row r="102" spans="1:39" ht="15.75" thickBot="1"/>
    <row r="103" spans="1:39">
      <c r="A103" s="241" t="s">
        <v>139</v>
      </c>
    </row>
    <row r="104" spans="1:39" ht="15.75" thickBot="1">
      <c r="A104" s="242">
        <v>3040000</v>
      </c>
    </row>
    <row r="106" spans="1:39">
      <c r="A106" s="183" t="s">
        <v>140</v>
      </c>
      <c r="B106" s="183" t="s">
        <v>141</v>
      </c>
      <c r="D106" s="81">
        <f>A104*0.7</f>
        <v>2128000</v>
      </c>
      <c r="E106" s="183" t="s">
        <v>142</v>
      </c>
      <c r="F106" s="226">
        <f>I100</f>
        <v>279000</v>
      </c>
    </row>
    <row r="107" spans="1:39">
      <c r="A107" s="183" t="s">
        <v>143</v>
      </c>
      <c r="B107" s="183" t="s">
        <v>144</v>
      </c>
      <c r="E107" s="183" t="s">
        <v>145</v>
      </c>
      <c r="F107" s="226">
        <f>D106-F106</f>
        <v>1849000</v>
      </c>
      <c r="G107" s="183" t="s">
        <v>146</v>
      </c>
      <c r="H107" s="82">
        <f>F107/D100</f>
        <v>208.12696983340837</v>
      </c>
      <c r="I107" s="216">
        <v>213</v>
      </c>
    </row>
    <row r="108" spans="1:39">
      <c r="A108" s="197" t="s">
        <v>147</v>
      </c>
      <c r="B108" s="183" t="s">
        <v>148</v>
      </c>
      <c r="D108" s="81">
        <f>A104*0.3</f>
        <v>912000</v>
      </c>
      <c r="E108" s="183" t="s">
        <v>149</v>
      </c>
      <c r="F108" s="81">
        <f>R100</f>
        <v>1629125</v>
      </c>
    </row>
    <row r="110" spans="1:39">
      <c r="A110" s="216" t="s">
        <v>150</v>
      </c>
      <c r="E110" s="243" t="s">
        <v>101</v>
      </c>
      <c r="F110" s="244">
        <f>F106+F108+D108</f>
        <v>2820125</v>
      </c>
    </row>
    <row r="111" spans="1:39">
      <c r="A111" s="183" t="s">
        <v>151</v>
      </c>
      <c r="B111" s="85">
        <v>726076.14000000013</v>
      </c>
    </row>
    <row r="112" spans="1:39">
      <c r="A112" s="183" t="s">
        <v>152</v>
      </c>
      <c r="B112" s="86">
        <v>126468.83</v>
      </c>
    </row>
    <row r="113" spans="1:2">
      <c r="A113" s="183" t="s">
        <v>122</v>
      </c>
      <c r="B113" s="85">
        <v>3275</v>
      </c>
    </row>
    <row r="114" spans="1:2">
      <c r="A114" s="216" t="s">
        <v>101</v>
      </c>
      <c r="B114" s="240">
        <f>SUM(B111:B113)</f>
        <v>855819.97000000009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Budget-info</vt:lpstr>
      <vt:lpstr>Konsekvensberegninge (10)</vt:lpstr>
      <vt:lpstr>Beregninger høring AD 2</vt:lpstr>
      <vt:lpstr>Beregninger høring AD 9</vt:lpstr>
      <vt:lpstr>Beregninger høring AD 3</vt:lpstr>
    </vt:vector>
  </TitlesOfParts>
  <Company>Fredericia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Langkilde Jakobsen</dc:creator>
  <cp:lastModifiedBy>Birgitte Langkilde Jakobsen</cp:lastModifiedBy>
  <dcterms:created xsi:type="dcterms:W3CDTF">2016-04-01T09:07:11Z</dcterms:created>
  <dcterms:modified xsi:type="dcterms:W3CDTF">2016-07-12T09:16:05Z</dcterms:modified>
</cp:coreProperties>
</file>